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charts/chart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4.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6.xml" ContentType="application/vnd.openxmlformats-officedocument.drawingml.chart+xml"/>
  <Override PartName="/xl/drawings/drawing23.xml" ContentType="application/vnd.openxmlformats-officedocument.drawing+xml"/>
  <Override PartName="/xl/charts/chart7.xml" ContentType="application/vnd.openxmlformats-officedocument.drawingml.chart+xml"/>
  <Override PartName="/xl/drawings/drawing24.xml" ContentType="application/vnd.openxmlformats-officedocument.drawing+xml"/>
  <Override PartName="/xl/charts/chart8.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9.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0.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1.xml" ContentType="application/vnd.openxmlformats-officedocument.drawingml.chart+xml"/>
  <Override PartName="/xl/drawings/drawing32.xml" ContentType="application/vnd.openxmlformats-officedocument.drawing+xml"/>
  <Override PartName="/xl/charts/chart12.xml" ContentType="application/vnd.openxmlformats-officedocument.drawingml.chart+xml"/>
  <Override PartName="/xl/drawings/drawing33.xml" ContentType="application/vnd.openxmlformats-officedocument.drawing+xml"/>
  <Override PartName="/xl/charts/chart13.xml" ContentType="application/vnd.openxmlformats-officedocument.drawingml.chart+xml"/>
  <Override PartName="/xl/drawings/drawing34.xml" ContentType="application/vnd.openxmlformats-officedocument.drawing+xml"/>
  <Override PartName="/xl/charts/chart14.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15.xml" ContentType="application/vnd.openxmlformats-officedocument.drawingml.chart+xml"/>
  <Override PartName="/xl/drawings/drawing38.xml" ContentType="application/vnd.openxmlformats-officedocument.drawing+xml"/>
  <Override PartName="/xl/charts/chart16.xml" ContentType="application/vnd.openxmlformats-officedocument.drawingml.chart+xml"/>
  <Override PartName="/xl/drawings/drawing39.xml" ContentType="application/vnd.openxmlformats-officedocument.drawing+xml"/>
  <Override PartName="/xl/charts/chart17.xml" ContentType="application/vnd.openxmlformats-officedocument.drawingml.chart+xml"/>
  <Override PartName="/xl/drawings/drawing40.xml" ContentType="application/vnd.openxmlformats-officedocument.drawing+xml"/>
  <Override PartName="/xl/charts/chart18.xml" ContentType="application/vnd.openxmlformats-officedocument.drawingml.chart+xml"/>
  <Override PartName="/xl/drawings/drawing41.xml" ContentType="application/vnd.openxmlformats-officedocument.drawing+xml"/>
  <Override PartName="/xl/charts/chart19.xml" ContentType="application/vnd.openxmlformats-officedocument.drawingml.chart+xml"/>
  <Override PartName="/xl/drawings/drawing42.xml" ContentType="application/vnd.openxmlformats-officedocument.drawing+xml"/>
  <Override PartName="/xl/charts/chart20.xml" ContentType="application/vnd.openxmlformats-officedocument.drawingml.chart+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21.xml" ContentType="application/vnd.openxmlformats-officedocument.drawingml.chart+xml"/>
  <Override PartName="/xl/drawings/drawing46.xml" ContentType="application/vnd.openxmlformats-officedocument.drawing+xml"/>
  <Override PartName="/xl/charts/chart22.xml" ContentType="application/vnd.openxmlformats-officedocument.drawingml.chart+xml"/>
  <Override PartName="/xl/drawings/drawing47.xml" ContentType="application/vnd.openxmlformats-officedocument.drawing+xml"/>
  <Override PartName="/xl/charts/chart23.xml" ContentType="application/vnd.openxmlformats-officedocument.drawingml.chart+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24.xml" ContentType="application/vnd.openxmlformats-officedocument.drawingml.chart+xml"/>
  <Override PartName="/xl/drawings/drawing52.xml" ContentType="application/vnd.openxmlformats-officedocument.drawing+xml"/>
  <Override PartName="/xl/charts/chart25.xml" ContentType="application/vnd.openxmlformats-officedocument.drawingml.chart+xml"/>
  <Override PartName="/xl/drawings/drawing53.xml" ContentType="application/vnd.openxmlformats-officedocument.drawing+xml"/>
  <Override PartName="/xl/charts/chart26.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7.xml" ContentType="application/vnd.openxmlformats-officedocument.drawingml.chart+xml"/>
  <Override PartName="/xl/drawings/drawing56.xml" ContentType="application/vnd.openxmlformats-officedocument.drawing+xml"/>
  <Override PartName="/xl/charts/chart28.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9.xml" ContentType="application/vnd.openxmlformats-officedocument.drawing+xml"/>
  <Override PartName="/xl/charts/chart30.xml" ContentType="application/vnd.openxmlformats-officedocument.drawingml.chart+xml"/>
  <Override PartName="/xl/drawings/drawing60.xml" ContentType="application/vnd.openxmlformats-officedocument.drawing+xml"/>
  <Override PartName="/xl/charts/chart31.xml" ContentType="application/vnd.openxmlformats-officedocument.drawingml.chart+xml"/>
  <Override PartName="/xl/drawings/drawing61.xml" ContentType="application/vnd.openxmlformats-officedocument.drawing+xml"/>
  <Override PartName="/xl/charts/chart32.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64.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65.xml" ContentType="application/vnd.openxmlformats-officedocument.drawing+xml"/>
  <Override PartName="/xl/charts/chart37.xml" ContentType="application/vnd.openxmlformats-officedocument.drawingml.chart+xml"/>
  <Override PartName="/xl/drawings/drawing66.xml" ContentType="application/vnd.openxmlformats-officedocument.drawingml.chartshapes+xml"/>
  <Override PartName="/xl/charts/chart38.xml" ContentType="application/vnd.openxmlformats-officedocument.drawingml.chart+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harts/chart39.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40.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41.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42.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charts/chart43.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44.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45.xml" ContentType="application/vnd.openxmlformats-officedocument.drawingml.chart+xml"/>
  <Override PartName="/xl/drawings/drawing87.xml" ContentType="application/vnd.openxmlformats-officedocument.drawing+xml"/>
  <Override PartName="/xl/charts/chart46.xml" ContentType="application/vnd.openxmlformats-officedocument.drawingml.chart+xml"/>
  <Override PartName="/xl/drawings/drawing88.xml" ContentType="application/vnd.openxmlformats-officedocument.drawing+xml"/>
  <Override PartName="/xl/drawings/drawing89.xml" ContentType="application/vnd.openxmlformats-officedocument.drawing+xml"/>
  <Override PartName="/xl/charts/chart47.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8.xml" ContentType="application/vnd.openxmlformats-officedocument.drawingml.chart+xml"/>
  <Override PartName="/xl/drawings/drawing92.xml" ContentType="application/vnd.openxmlformats-officedocument.drawing+xml"/>
  <Override PartName="/xl/charts/chart49.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50.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5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7.xml" ContentType="application/vnd.openxmlformats-officedocument.drawing+xml"/>
  <Override PartName="/xl/charts/chart52.xml" ContentType="application/vnd.openxmlformats-officedocument.drawingml.chart+xml"/>
  <Override PartName="/xl/drawings/drawing98.xml" ContentType="application/vnd.openxmlformats-officedocument.drawing+xml"/>
  <Override PartName="/xl/charts/chart53.xml" ContentType="application/vnd.openxmlformats-officedocument.drawingml.chart+xml"/>
  <Override PartName="/xl/drawings/drawing99.xml" ContentType="application/vnd.openxmlformats-officedocument.drawingml.chartshapes+xml"/>
  <Override PartName="/xl/drawings/drawing100.xml" ContentType="application/vnd.openxmlformats-officedocument.drawing+xml"/>
  <Override PartName="/xl/charts/chart54.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3.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4.xml" ContentType="application/vnd.openxmlformats-officedocument.drawing+xml"/>
  <Override PartName="/xl/drawings/drawing105.xml" ContentType="application/vnd.openxmlformats-officedocument.drawing+xml"/>
  <Override PartName="/xl/comments1.xml" ContentType="application/vnd.openxmlformats-officedocument.spreadsheetml.comments+xml"/>
  <Override PartName="/xl/charts/chart57.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omments2.xml" ContentType="application/vnd.openxmlformats-officedocument.spreadsheetml.comments+xml"/>
  <Override PartName="/xl/charts/chart5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omments3.xml" ContentType="application/vnd.openxmlformats-officedocument.spreadsheetml.comments+xml"/>
  <Override PartName="/xl/charts/chart5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0.xml" ContentType="application/vnd.openxmlformats-officedocument.drawing+xml"/>
  <Override PartName="/xl/charts/chart60.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6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3.xml" ContentType="application/vnd.openxmlformats-officedocument.drawing+xml"/>
  <Override PartName="/xl/charts/chart6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4.xml" ContentType="application/vnd.openxmlformats-officedocument.drawing+xml"/>
  <Override PartName="/xl/charts/chart63.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6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drawings/drawing119.xml" ContentType="application/vnd.openxmlformats-officedocument.drawing+xml"/>
  <Override PartName="/xl/charts/chart65.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harts/chart66.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charts/chart67.xml" ContentType="application/vnd.openxmlformats-officedocument.drawingml.chart+xml"/>
  <Override PartName="/xl/drawings/drawing128.xml" ContentType="application/vnd.openxmlformats-officedocument.drawing+xml"/>
  <Override PartName="/xl/charts/chart68.xml" ContentType="application/vnd.openxmlformats-officedocument.drawingml.chart+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charts/chart69.xml" ContentType="application/vnd.openxmlformats-officedocument.drawingml.chart+xml"/>
  <Override PartName="/xl/drawings/drawing133.xml" ContentType="application/vnd.openxmlformats-officedocument.drawing+xml"/>
  <Override PartName="/xl/charts/chart70.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charts/chart71.xml" ContentType="application/vnd.openxmlformats-officedocument.drawingml.chart+xml"/>
  <Override PartName="/xl/drawings/drawing138.xml" ContentType="application/vnd.openxmlformats-officedocument.drawing+xml"/>
  <Override PartName="/xl/charts/chart72.xml" ContentType="application/vnd.openxmlformats-officedocument.drawingml.chart+xml"/>
  <Override PartName="/xl/drawings/drawing139.xml" ContentType="application/vnd.openxmlformats-officedocument.drawing+xml"/>
  <Override PartName="/xl/charts/chart73.xml" ContentType="application/vnd.openxmlformats-officedocument.drawingml.chart+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charts/chart74.xml" ContentType="application/vnd.openxmlformats-officedocument.drawingml.chart+xml"/>
  <Override PartName="/xl/drawings/drawing143.xml" ContentType="application/vnd.openxmlformats-officedocument.drawing+xml"/>
  <Override PartName="/xl/charts/chart75.xml" ContentType="application/vnd.openxmlformats-officedocument.drawingml.chart+xml"/>
  <Override PartName="/xl/drawings/drawing144.xml" ContentType="application/vnd.openxmlformats-officedocument.drawing+xml"/>
  <Override PartName="/xl/charts/chart76.xml" ContentType="application/vnd.openxmlformats-officedocument.drawingml.chart+xml"/>
  <Override PartName="/xl/drawings/drawing145.xml" ContentType="application/vnd.openxmlformats-officedocument.drawing+xml"/>
  <Override PartName="/xl/charts/chart77.xml" ContentType="application/vnd.openxmlformats-officedocument.drawingml.chart+xml"/>
  <Override PartName="/xl/drawings/drawing146.xml" ContentType="application/vnd.openxmlformats-officedocument.drawing+xml"/>
  <Override PartName="/xl/charts/chart78.xml" ContentType="application/vnd.openxmlformats-officedocument.drawingml.chart+xml"/>
  <Override PartName="/xl/drawings/drawing147.xml" ContentType="application/vnd.openxmlformats-officedocument.drawing+xml"/>
  <Override PartName="/xl/charts/chart79.xml" ContentType="application/vnd.openxmlformats-officedocument.drawingml.chart+xml"/>
  <Override PartName="/xl/drawings/drawing148.xml" ContentType="application/vnd.openxmlformats-officedocument.drawing+xml"/>
  <Override PartName="/xl/charts/chart80.xml" ContentType="application/vnd.openxmlformats-officedocument.drawingml.chart+xml"/>
  <Override PartName="/xl/drawings/drawing149.xml" ContentType="application/vnd.openxmlformats-officedocument.drawing+xml"/>
  <Override PartName="/xl/charts/chart8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0.xml" ContentType="application/vnd.openxmlformats-officedocument.drawing+xml"/>
  <Override PartName="/xl/charts/chart82.xml" ContentType="application/vnd.openxmlformats-officedocument.drawingml.chart+xml"/>
  <Override PartName="/xl/drawings/drawing151.xml" ContentType="application/vnd.openxmlformats-officedocument.drawing+xml"/>
  <Override PartName="/xl/charts/chart83.xml" ContentType="application/vnd.openxmlformats-officedocument.drawingml.chart+xml"/>
  <Override PartName="/xl/drawings/drawing152.xml" ContentType="application/vnd.openxmlformats-officedocument.drawing+xml"/>
  <Override PartName="/xl/charts/chart84.xml" ContentType="application/vnd.openxmlformats-officedocument.drawingml.chart+xml"/>
  <Override PartName="/xl/drawings/drawing153.xml" ContentType="application/vnd.openxmlformats-officedocument.drawing+xml"/>
  <Override PartName="/xl/charts/chart85.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charts/chart86.xml" ContentType="application/vnd.openxmlformats-officedocument.drawingml.chart+xml"/>
  <Override PartName="/xl/drawings/drawing156.xml" ContentType="application/vnd.openxmlformats-officedocument.drawing+xml"/>
  <Override PartName="/xl/charts/chart87.xml" ContentType="application/vnd.openxmlformats-officedocument.drawingml.chart+xml"/>
  <Override PartName="/xl/drawings/drawing157.xml" ContentType="application/vnd.openxmlformats-officedocument.drawing+xml"/>
  <Override PartName="/xl/charts/chart88.xml" ContentType="application/vnd.openxmlformats-officedocument.drawingml.chart+xml"/>
  <Override PartName="/xl/drawings/drawing158.xml" ContentType="application/vnd.openxmlformats-officedocument.drawing+xml"/>
  <Override PartName="/xl/charts/chart89.xml" ContentType="application/vnd.openxmlformats-officedocument.drawingml.chart+xml"/>
  <Override PartName="/xl/drawings/drawing159.xml" ContentType="application/vnd.openxmlformats-officedocument.drawing+xml"/>
  <Override PartName="/xl/charts/chart90.xml" ContentType="application/vnd.openxmlformats-officedocument.drawingml.chart+xml"/>
  <Override PartName="/xl/drawings/drawing160.xml" ContentType="application/vnd.openxmlformats-officedocument.drawing+xml"/>
  <Override PartName="/xl/charts/chart91.xml" ContentType="application/vnd.openxmlformats-officedocument.drawingml.chart+xml"/>
  <Override PartName="/xl/drawings/drawing161.xml" ContentType="application/vnd.openxmlformats-officedocument.drawing+xml"/>
  <Override PartName="/xl/charts/chart92.xml" ContentType="application/vnd.openxmlformats-officedocument.drawingml.chart+xml"/>
  <Override PartName="/xl/drawings/drawing162.xml" ContentType="application/vnd.openxmlformats-officedocument.drawing+xml"/>
  <Override PartName="/xl/charts/chart93.xml" ContentType="application/vnd.openxmlformats-officedocument.drawingml.chart+xml"/>
  <Override PartName="/xl/drawings/drawing163.xml" ContentType="application/vnd.openxmlformats-officedocument.drawing+xml"/>
  <Override PartName="/xl/charts/chart94.xml" ContentType="application/vnd.openxmlformats-officedocument.drawingml.chart+xml"/>
  <Override PartName="/xl/drawings/drawing164.xml" ContentType="application/vnd.openxmlformats-officedocument.drawing+xml"/>
  <Override PartName="/xl/charts/chart95.xml" ContentType="application/vnd.openxmlformats-officedocument.drawingml.chart+xml"/>
  <Override PartName="/xl/drawings/drawing165.xml" ContentType="application/vnd.openxmlformats-officedocument.drawing+xml"/>
  <Override PartName="/xl/charts/chart96.xml" ContentType="application/vnd.openxmlformats-officedocument.drawingml.chart+xml"/>
  <Override PartName="/xl/drawings/drawing166.xml" ContentType="application/vnd.openxmlformats-officedocument.drawing+xml"/>
  <Override PartName="/xl/charts/chart97.xml" ContentType="application/vnd.openxmlformats-officedocument.drawingml.chart+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charts/chart98.xml" ContentType="application/vnd.openxmlformats-officedocument.drawingml.chart+xml"/>
  <Override PartName="/xl/drawings/drawing170.xml" ContentType="application/vnd.openxmlformats-officedocument.drawing+xml"/>
  <Override PartName="/xl/charts/chart99.xml" ContentType="application/vnd.openxmlformats-officedocument.drawingml.chart+xml"/>
  <Override PartName="/xl/drawings/drawing171.xml" ContentType="application/vnd.openxmlformats-officedocument.drawing+xml"/>
  <Override PartName="/xl/charts/chart100.xml" ContentType="application/vnd.openxmlformats-officedocument.drawingml.chart+xml"/>
  <Override PartName="/xl/drawings/drawing172.xml" ContentType="application/vnd.openxmlformats-officedocument.drawing+xml"/>
  <Override PartName="/xl/drawings/drawing173.xml" ContentType="application/vnd.openxmlformats-officedocument.drawing+xml"/>
  <Override PartName="/xl/charts/chart101.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10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103.xml" ContentType="application/vnd.openxmlformats-officedocument.drawingml.chart+xml"/>
  <Override PartName="/xl/drawings/drawing178.xml" ContentType="application/vnd.openxmlformats-officedocument.drawingml.chartshapes+xml"/>
  <Override PartName="/xl/charts/chart104.xml" ContentType="application/vnd.openxmlformats-officedocument.drawingml.chart+xml"/>
  <Override PartName="/xl/charts/chart105.xml" ContentType="application/vnd.openxmlformats-officedocument.drawingml.chart+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Dirección Planificación y Desarrollo\Gissel\06. Junio 2015\"/>
    </mc:Choice>
  </mc:AlternateContent>
  <bookViews>
    <workbookView xWindow="-45" yWindow="-45" windowWidth="12750" windowHeight="9660" tabRatio="702"/>
  </bookViews>
  <sheets>
    <sheet name="Present. " sheetId="373" r:id="rId1"/>
    <sheet name="Contenido" sheetId="417"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2)"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CMNR" sheetId="301" r:id="rId139"/>
    <sheet name="VI.1.Analisis CMNR" sheetId="420" r:id="rId140"/>
    <sheet name="VI.2.Status" sheetId="422" r:id="rId141"/>
    <sheet name="VI.3.Apelaciones1" sheetId="423" r:id="rId142"/>
    <sheet name="VI.4. Entidad Receptora Origen" sheetId="424" r:id="rId143"/>
    <sheet name="VII.ENFT_BC" sheetId="368" r:id="rId144"/>
    <sheet name="VII.1 Ocup. formal" sheetId="398" r:id="rId145"/>
    <sheet name="VII.2 Pob. econ." sheetId="399" r:id="rId146"/>
    <sheet name=" VIII.1.a SDSS Definiciones" sheetId="246" r:id="rId147"/>
    <sheet name="VIII.1.b  SDSS Definiciones " sheetId="245" r:id="rId148"/>
    <sheet name=" VIII.1.c SDSS Definiciones" sheetId="247" r:id="rId149"/>
    <sheet name=" VIII.1.d SDSS Definiciones" sheetId="248" r:id="rId150"/>
    <sheet name="VIII.2a. Logros " sheetId="316" r:id="rId151"/>
    <sheet name="VIII.2b. Logros1" sheetId="315" r:id="rId152"/>
  </sheets>
  <externalReferences>
    <externalReference r:id="rId153"/>
    <externalReference r:id="rId154"/>
    <externalReference r:id="rId155"/>
    <externalReference r:id="rId156"/>
  </externalReferences>
  <definedNames>
    <definedName name="_xlnm._FilterDatabase" localSheetId="28" hidden="1">'III.2.6.Afil. SFS RC X sex.tipo'!$A$3:$G$36</definedName>
    <definedName name="_xlnm._FilterDatabase" localSheetId="35" hidden="1">'III.3.6.Afil.SFSRSsex tipo '!$A$3:$F$36</definedName>
    <definedName name="_xlnm._FilterDatabase" localSheetId="76" hidden="1">'IV.2.4.Pagos x ARS'!$B$3:$L$58</definedName>
    <definedName name="_Toc257211943" localSheetId="145">'VII.2 Pob. econ.'!#REF!</definedName>
    <definedName name="_xlcn.WorksheetConnection_III.5.15.Afil.SVDSxprov.A3F60" hidden="1">'III.5.15.Afil. SVDSxprov.'!$A$3:$F$36</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'[1]7.7.6'!#REF!</definedName>
    <definedName name="Afiliacion2" localSheetId="69">'[1]7.7.6'!#REF!</definedName>
    <definedName name="Afiliacion2" localSheetId="83">'[1]7.7.6'!#REF!</definedName>
    <definedName name="Afiliacion2" localSheetId="103">'[1]7.7.6'!#REF!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'[1]7.7.6'!#REF!</definedName>
    <definedName name="_xlnm.Print_Area" localSheetId="10">' II.4.Empr x No. de empl'!$A$1:$N$62</definedName>
    <definedName name="_xlnm.Print_Area" localSheetId="27">' III.2.5.Cob.Afil.SFSRC Mens'!$A$1:$R$42</definedName>
    <definedName name="_xlnm.Print_Area" localSheetId="32">' III.3.3.Afil.mensual SFS RS '!$A$1:$N$37</definedName>
    <definedName name="_xlnm.Print_Area" localSheetId="39">' III.4.2.Afil. SFSP Anual.'!$A$1:$K$41</definedName>
    <definedName name="_xlnm.Print_Area" localSheetId="40">' III.4.3.Afil. SFSP Mensual'!$A$1:$L$48</definedName>
    <definedName name="_xlnm.Print_Area" localSheetId="41">' III.4.4.Cob.Afil. SFSP Mensual'!$A$1:$M$53</definedName>
    <definedName name="_xlnm.Print_Area" localSheetId="105">' V.2.3.Benef. subsid '!$A$1:$L$37</definedName>
    <definedName name="_xlnm.Print_Area" localSheetId="146">' VIII.1.a SDSS Definiciones'!$A$1:$P$4</definedName>
    <definedName name="_xlnm.Print_Area" localSheetId="148">' VIII.1.c SDSS Definiciones'!$A$1:$P$5</definedName>
    <definedName name="_xlnm.Print_Area" localSheetId="149">' VIII.1.d SDSS Definiciones'!$A$1:$P$4</definedName>
    <definedName name="_xlnm.Print_Area" localSheetId="1">Contenido!$A$1:$A$195</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SDSS'!$A$1:$M$35</definedName>
    <definedName name="_xlnm.Print_Area" localSheetId="9">'II.3. Empl x sector '!$A$1:$N$37</definedName>
    <definedName name="_xlnm.Print_Area" localSheetId="11">'II.5 Salario prom.'!$A$1:$N$76</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SFS'!$A$1:$M$37</definedName>
    <definedName name="_xlnm.Print_Area" localSheetId="17">III.1.3.Afil.SFSPob.Nac.!$A$1:$P$48</definedName>
    <definedName name="_xlnm.Print_Area" localSheetId="18">'III.1.4.Afil. SFS'!$A$1:$Q$45</definedName>
    <definedName name="_xlnm.Print_Area" localSheetId="19">'III.1.5.Cob.Afil. SFS '!$A$1:$Q$43</definedName>
    <definedName name="_xlnm.Print_Area" localSheetId="20">'III.1.6.Afil. SFS x sexo'!$A$1:$P$43</definedName>
    <definedName name="_xlnm.Print_Area" localSheetId="21">'III.1.7.Proy. afil.Vs pobl.'!$A$1:$P$70</definedName>
    <definedName name="_xlnm.Print_Area" localSheetId="13">III.1.SFS!$A$1:$M$45</definedName>
    <definedName name="_xlnm.Print_Area" localSheetId="22">'III.2. SFS.RC'!$A$1:$K$45</definedName>
    <definedName name="_xlnm.Print_Area" localSheetId="23">'III.2.1.Afil. SFS.RC '!$A$1:$L$45</definedName>
    <definedName name="_xlnm.Print_Area" localSheetId="24">'III.2.2. Afil. SFS RC Anual '!$A$1:$P$42</definedName>
    <definedName name="_xlnm.Print_Area" localSheetId="25">'III.2.3. Afil. SFS RC Mensual'!$A$1:$R$39</definedName>
    <definedName name="_xlnm.Print_Area" localSheetId="26">'III.2.4.Cob.Afil. SFS RC Anual'!$A$1:$R$40</definedName>
    <definedName name="_xlnm.Print_Area" localSheetId="28">'III.2.6.Afil. SFS RC X sex.tipo'!$A$1:$R$61</definedName>
    <definedName name="_xlnm.Print_Area" localSheetId="30">'III.3.1.Analis.Afil. SFS.RS1  '!$A$1:$M$38</definedName>
    <definedName name="_xlnm.Print_Area" localSheetId="31">'III.3.2. Afil anual SFS RS '!$A$1:$N$55</definedName>
    <definedName name="_xlnm.Print_Area" localSheetId="33">'III.3.4.Cob.Afil anual SFS RS'!$A$1:$N$44</definedName>
    <definedName name="_xlnm.Print_Area" localSheetId="34">'III.3.5.Cob.Afil.mens.SFS RS '!$A$1:$N$43</definedName>
    <definedName name="_xlnm.Print_Area" localSheetId="35">'III.3.6.Afil.SFSRSsex tipo '!$A$1:$P$61</definedName>
    <definedName name="_xlnm.Print_Area" localSheetId="36">'III.3.7. Afil. SFS RS Vs pob.'!$A$1:$K$46</definedName>
    <definedName name="_xlnm.Print_Area" localSheetId="29">III.3.SFS.RS!$A$1:$M$39</definedName>
    <definedName name="_xlnm.Print_Area" localSheetId="38">III.4.1.Afil.RET1!$A$1:$L$35</definedName>
    <definedName name="_xlnm.Print_Area" localSheetId="37">III.4.Afil.RET!$A$1:$M$45</definedName>
    <definedName name="_xlnm.Print_Area" localSheetId="43">'III.5.1.Definición Afil. SVDS'!$A$1:$M$46</definedName>
    <definedName name="_xlnm.Print_Area" localSheetId="52">'III.5.10.Cot.Afil X Sexo'!$A$1:$O$59</definedName>
    <definedName name="_xlnm.Print_Area" localSheetId="53">'III.5.11.Traspasos anual'!$A$1:$Q$57</definedName>
    <definedName name="_xlnm.Print_Area" localSheetId="54">'III.5.12.Trasp. recibidos'!$A$1:$Q$53</definedName>
    <definedName name="_xlnm.Print_Area" localSheetId="55">'III.5.13.Trasp. cedidos'!$A$1:$Q$53</definedName>
    <definedName name="_xlnm.Print_Area" localSheetId="56">'III.5.14.Trasp. netos'!$A$1:$S$51</definedName>
    <definedName name="_xlnm.Print_Area" localSheetId="57">'III.5.15.Afil. SVDSxprov.'!$A$1:$K$87</definedName>
    <definedName name="_xlnm.Print_Area" localSheetId="44">'III.5.2.Analisis Afil. SVDS'!$A$1:$M$42</definedName>
    <definedName name="_xlnm.Print_Area" localSheetId="45">'III.5.3.Afil. SVDS'!$A$1:$N$50</definedName>
    <definedName name="_xlnm.Print_Area" localSheetId="46">'III.5.4.Afil. SVDS mensual'!$A$1:$N$58</definedName>
    <definedName name="_xlnm.Print_Area" localSheetId="47">'III.5.5.Afil. cotiz.'!$A$1:$O$55</definedName>
    <definedName name="_xlnm.Print_Area" localSheetId="48">'III.5.6.Cotiz. x rango de edad'!$A$1:$L$39</definedName>
    <definedName name="_xlnm.Print_Area" localSheetId="49">'III.5.7.Cotiz x sal. min. cot.'!$A$1:$L$38</definedName>
    <definedName name="_xlnm.Print_Area" localSheetId="50">'III.5.8.Cotiz.x AFP y fondos'!$A$1:$L$46</definedName>
    <definedName name="_xlnm.Print_Area" localSheetId="51">III.5.9.PEA_Pensiones_Género!$A$1:$N$49</definedName>
    <definedName name="_xlnm.Print_Area" localSheetId="42">III.5.SVDS!$A$1:$P$53</definedName>
    <definedName name="_xlnm.Print_Area" localSheetId="59">'III.6.1.Definición Afil. SRL'!$A$1:$M$49</definedName>
    <definedName name="_xlnm.Print_Area" localSheetId="60">'III.6.2.Afil. SRL.RC1 '!$A$1:$K$28</definedName>
    <definedName name="_xlnm.Print_Area" localSheetId="61">'III.6.3.Afil. SRL'!$A$1:$P$55</definedName>
    <definedName name="_xlnm.Print_Area" localSheetId="62">'III.6.4.Afil. SRL x sexoy edad'!$A$1:$M$73</definedName>
    <definedName name="_xlnm.Print_Area" localSheetId="63">'III.6.5.Afil. ARL x riesgo'!$A$1:$N$56</definedName>
    <definedName name="_xlnm.Print_Area" localSheetId="64">'III.6.6.ID. Accidentabilidad'!$A$1:$J$45</definedName>
    <definedName name="_xlnm.Print_Area" localSheetId="58">III.6.SRL!$A$1:$L$34</definedName>
    <definedName name="_xlnm.Print_Area" localSheetId="65">'IV. ING._ EGR'!$A$1:$L$34</definedName>
    <definedName name="_xlnm.Print_Area" localSheetId="68">'IV.1.2. Analisis Ing.Egr'!$A$1:$L$37</definedName>
    <definedName name="_xlnm.Print_Area" localSheetId="69">'IV.1.3. Ingr y egr SDSS'!$A$1:$N$65</definedName>
    <definedName name="_xlnm.Print_Area" localSheetId="70">'IV.1.4. Recaudo x sector'!$A$1:$I$47</definedName>
    <definedName name="_xlnm.Print_Area" localSheetId="71">'IV.1.5 Rec. x origen'!$A$1:$K$46</definedName>
    <definedName name="_xlnm.Print_Area" localSheetId="72">'IV.1.6 Aport.Gob.SS'!$A$1:$I$44</definedName>
    <definedName name="_xlnm.Print_Area" localSheetId="66">'IV.1a.Definición Ing.Gastos)'!$A$1:$N$53</definedName>
    <definedName name="_xlnm.Print_Area" localSheetId="67">'IV.1b.Definición Ing.Gastos'!$A$1:$N$49</definedName>
    <definedName name="_xlnm.Print_Area" localSheetId="73">'IV.2.1 AnálisisIng.Egr.Seg'!$A$1:$L$46</definedName>
    <definedName name="_xlnm.Print_Area" localSheetId="82">'IV.2.10 Pagos.SFS Pens.'!$A$1:$J$52</definedName>
    <definedName name="_xlnm.Print_Area" localSheetId="83">'IV.2.11.Pagos.SFS Pens.Mens.'!$A$1:$M$58</definedName>
    <definedName name="_xlnm.Print_Area" localSheetId="74">'IV.2.2. Pagos SFS A'!$A$1:$M$58</definedName>
    <definedName name="_xlnm.Print_Area" localSheetId="75">'IV.2.3.Pagos_SFS M'!$A$1:$K$49</definedName>
    <definedName name="_xlnm.Print_Area" localSheetId="76">'IV.2.4.Pagos x ARS'!$A$1:$L$82</definedName>
    <definedName name="_xlnm.Print_Area" localSheetId="77">'IV.2.5.Pagos x ARS'!$A$1:$L$54</definedName>
    <definedName name="_xlnm.Print_Area" localSheetId="78">'IV.2.6.INV_SFS x Entidad'!$A$1:$J$49</definedName>
    <definedName name="_xlnm.Print_Area" localSheetId="79">'IV.2.7.INV_SFS x cuentas'!$A$1:$K$50</definedName>
    <definedName name="_xlnm.Print_Area" localSheetId="80">'IV.2.8.Aport. GOB. y Pagos RS'!$A$1:$L$63</definedName>
    <definedName name="_xlnm.Print_Area" localSheetId="81">'IV.2.9.Saldos RS mensual'!$A$1:$L$52</definedName>
    <definedName name="_xlnm.Print_Area" localSheetId="84">IV.3.1.AnálisisIng.Eg.SVDS!$A$1:$L$47</definedName>
    <definedName name="_xlnm.Print_Area" localSheetId="85">'IV.3.2.Pagos_ SVDS'!$A$1:$L$58</definedName>
    <definedName name="_xlnm.Print_Area" localSheetId="86">'IV.3.3.Pagos anuales x cuentas'!$A$1:$O$39</definedName>
    <definedName name="_xlnm.Print_Area" localSheetId="87">'IV.3.4.Pago Entidades'!$A$1:$K$61</definedName>
    <definedName name="_xlnm.Print_Area" localSheetId="88">'IV.3.5.Patrim. fp anual'!$A$1:$J$42</definedName>
    <definedName name="_xlnm.Print_Area" localSheetId="89">'IV.3.6.Cartera de inv fp'!$A$1:$J$54</definedName>
    <definedName name="_xlnm.Print_Area" localSheetId="90">'IV.3.7. Comp. Cartera'!$A$1:$H$54</definedName>
    <definedName name="_xlnm.Print_Area" localSheetId="91">'IV.3.8. Rent. nom. de los FP'!$A$1:$S$106</definedName>
    <definedName name="_xlnm.Print_Area" localSheetId="92">IV.3.9.Rentab.Real!$A$1:$Q$63</definedName>
    <definedName name="_xlnm.Print_Area" localSheetId="93">'IV.4.1. Analisis '!$A$1:$J$31</definedName>
    <definedName name="_xlnm.Print_Area" localSheetId="94">'IV.4.2.Pagos ARL A'!$A$1:$L$45</definedName>
    <definedName name="_xlnm.Print_Area" localSheetId="95">'IV.4.3.Pagos_ARL M'!$A$1:$L$47</definedName>
    <definedName name="_xlnm.Print_Area" localSheetId="0">'Present. '!$A$1:$M$102</definedName>
    <definedName name="_xlnm.Print_Area" localSheetId="99">V.1.2.AnalisEI!$A$1:$K$32</definedName>
    <definedName name="_xlnm.Print_Area" localSheetId="100">V.1.3.Afil.EI!$A$1:$J$54</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V.2.2.Análisis!$A$1:$N$38</definedName>
    <definedName name="_xlnm.Print_Area" localSheetId="106">'V.2.4. Monto subsid (2)'!$A$1:$M$35</definedName>
    <definedName name="_xlnm.Print_Area" localSheetId="102">V.2.SUBSIDIO_SFS!$A$1:$P$42</definedName>
    <definedName name="_xlnm.Print_Area" localSheetId="108">'V.3.1. Def-Análisis pens.'!$A$1:$L$33</definedName>
    <definedName name="_xlnm.Print_Area" localSheetId="109">'V.3.2 Pensiones por año'!$A$1:$M$60</definedName>
    <definedName name="_xlnm.Print_Area" localSheetId="110">'V.3.3.Pens.Disc. AFP'!$A$1:$N$55</definedName>
    <definedName name="_xlnm.Print_Area" localSheetId="111">'V.3.4.Pensiones Sob.Disc'!$A$1:$I$34</definedName>
    <definedName name="_xlnm.Print_Area" localSheetId="107">V.3.PENSIONES_SVDS!$A$1:$L$38</definedName>
    <definedName name="_xlnm.Print_Area" localSheetId="113">'V.4.1.Def-Analisis   '!$A$1:$N$44</definedName>
    <definedName name="_xlnm.Print_Area" localSheetId="122">'V.4.10.Accid x sector '!$A$1:$L$46</definedName>
    <definedName name="_xlnm.Print_Area" localSheetId="123">'V.4.11.Accid x sexo'!$A$1:$L$43</definedName>
    <definedName name="_xlnm.Print_Area" localSheetId="124">'V.4.12.Accid x edad'!$A$1:$U$61</definedName>
    <definedName name="_xlnm.Print_Area" localSheetId="125">'V.4.13.EC. Accid. Lab'!$A$1:$J$43</definedName>
    <definedName name="_xlnm.Print_Area" localSheetId="126">'V.4.14.EC. Accid. Lab.'!$A$1:$L$44</definedName>
    <definedName name="_xlnm.Print_Area" localSheetId="127">'V.4.15.EC. Accid. Lab x tipo'!$A$1:$L$46</definedName>
    <definedName name="_xlnm.Print_Area" localSheetId="128">'V.4.16. EC. Accid. Lab x Lesión'!$A$1:$N$44</definedName>
    <definedName name="_xlnm.Print_Area" localSheetId="129">'V.4.17. Accid.Lab suceso'!$A$1:$N$44</definedName>
    <definedName name="_xlnm.Print_Area" localSheetId="130">'V.4.18. EC. x Agente daño'!$A$1:$N$44</definedName>
    <definedName name="_xlnm.Print_Area" localSheetId="131">'V.4.19. EC. x  lugar de accid.'!$A$1:$M$44</definedName>
    <definedName name="_xlnm.Print_Area" localSheetId="114">'V.4.2.NA. Reportes ARL'!$A$1:$J$45</definedName>
    <definedName name="_xlnm.Print_Area" localSheetId="132">'V.4.20.EC. Accid incapac.'!$A$1:$O$54</definedName>
    <definedName name="_xlnm.Print_Area" localSheetId="133">'V.4.21. EC. Enferm. Prof (R)'!$A$1:$L$44</definedName>
    <definedName name="_xlnm.Print_Area" localSheetId="134">'V.4.22.EC. Accid Lab.(R)'!$A$1:$L$44</definedName>
    <definedName name="_xlnm.Print_Area" localSheetId="135">'V.4.23. Accid. Aprobxtipo'!$A$1:$M$44</definedName>
    <definedName name="_xlnm.Print_Area" localSheetId="136">'V.4.24. Accid. Aprob xLesión '!$A$1:$L$44</definedName>
    <definedName name="_xlnm.Print_Area" localSheetId="137">'V.4.25.Accid.Aprob Según suc.'!$A$1:$N$44</definedName>
    <definedName name="_xlnm.Print_Area" localSheetId="115">'V.4.3. NA.Cant. accid x región'!$A$1:$T$59</definedName>
    <definedName name="_xlnm.Print_Area" localSheetId="116">'V.4.4.NA.Cant. accid x Prov'!$A$1:$Q$62</definedName>
    <definedName name="_xlnm.Print_Area" localSheetId="117">'V.4.5.NA.Cant. accid x Proced.'!$A$1:$L$46</definedName>
    <definedName name="_xlnm.Print_Area" localSheetId="118">'V.4.6. NA.Cant. accid x sector'!$A$1:$L$46</definedName>
    <definedName name="_xlnm.Print_Area" localSheetId="119">'V.4.7. Accid x sexo'!$A$1:$J$44</definedName>
    <definedName name="_xlnm.Print_Area" localSheetId="120">'V.4.8. Accid x rango de edad'!$A$1:$N$60</definedName>
    <definedName name="_xlnm.Print_Area" localSheetId="121">'V.4.9.Accid x Escolaridad'!$A$1:$M$51</definedName>
    <definedName name="_xlnm.Print_Area" localSheetId="112">V.4.SOLIC_BEN_ARL!$A$1:$M$41</definedName>
    <definedName name="_xlnm.Print_Area" localSheetId="96">V.BENEFICIOS!$A$1:$L$34</definedName>
    <definedName name="_xlnm.Print_Area" localSheetId="139">'VI.1.Analisis CMNR'!$A$1:$M$40</definedName>
    <definedName name="_xlnm.Print_Area" localSheetId="140">VI.2.Status!$A$1:$L$38</definedName>
    <definedName name="_xlnm.Print_Area" localSheetId="141">VI.3.Apelaciones1!$A$1:$M$50</definedName>
    <definedName name="_xlnm.Print_Area" localSheetId="142">'VI.4. Entidad Receptora Origen'!$A$1:$L$37</definedName>
    <definedName name="_xlnm.Print_Area" localSheetId="138">VI.CMNR!$A$1:$I$31</definedName>
    <definedName name="_xlnm.Print_Area" localSheetId="144">'VII.1 Ocup. formal'!$A$1:$P$46</definedName>
    <definedName name="_xlnm.Print_Area" localSheetId="145">'VII.2 Pob. econ.'!$A$1:$L$51</definedName>
    <definedName name="_xlnm.Print_Area" localSheetId="143">VII.ENFT_BC!$A$1:$H$26</definedName>
    <definedName name="_xlnm.Print_Area" localSheetId="147">'VIII.1.b  SDSS Definiciones '!$A$1:$P$4</definedName>
    <definedName name="_xlnm.Print_Area" localSheetId="150">'VIII.2a. Logros '!$A$1:$M$45</definedName>
    <definedName name="_xlnm.Print_Area" localSheetId="151">'VIII.2b. Logros1'!$A$1:$M$45</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5">'[1]7.7.6'!#REF!</definedName>
    <definedName name="Área_de_impresión2" localSheetId="143">'[1]7.7.6'!#REF!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16">'[1]7.7.6'!#REF!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16">'[1]7.7.6'!#REF!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5">'[1]7.7.6'!#REF!</definedName>
    <definedName name="Exceso1" localSheetId="143">'[1]7.7.6'!#REF!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5">'[1]7.7.6'!#REF!</definedName>
    <definedName name="Exceso2" localSheetId="143">'[1]7.7.6'!#REF!</definedName>
    <definedName name="Exceso2">'[1]7.7.6'!#REF!</definedName>
    <definedName name="h">'[1]7.7.6'!$A$1:$AQ$58</definedName>
    <definedName name="Mapa2" localSheetId="69">'[1]7.7.6'!#REF!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5">'[1]7.7.6'!#REF!</definedName>
    <definedName name="Print2" localSheetId="143">'[1]7.7.6'!#REF!</definedName>
    <definedName name="Print2">'[1]7.7.6'!#REF!</definedName>
    <definedName name="Print3" localSheetId="69">'[1]7.7.6'!#REF!</definedName>
    <definedName name="Print3" localSheetId="83">'[1]7.7.6'!#REF!</definedName>
    <definedName name="Print3" localSheetId="103">'[1]7.7.6'!#REF!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7" i="447" l="1"/>
  <c r="J35" i="380" l="1"/>
  <c r="L12" i="29"/>
  <c r="K12" i="29"/>
  <c r="I12" i="29"/>
  <c r="J12" i="29"/>
  <c r="C12" i="29"/>
  <c r="F6" i="282"/>
  <c r="F7" i="282"/>
  <c r="F8" i="282"/>
  <c r="F9" i="282"/>
  <c r="F10" i="282"/>
  <c r="F11" i="282"/>
  <c r="F12" i="282"/>
  <c r="F13" i="282"/>
  <c r="F14" i="282"/>
  <c r="F15" i="282"/>
  <c r="F16" i="282"/>
  <c r="F17" i="282"/>
  <c r="F5" i="282"/>
  <c r="E18" i="282"/>
  <c r="B18" i="282"/>
  <c r="D18" i="282"/>
  <c r="F18" i="282" l="1"/>
  <c r="B12" i="392" l="1"/>
  <c r="C4" i="392" s="1"/>
  <c r="C11" i="392" l="1"/>
  <c r="C10" i="392"/>
  <c r="C9" i="392"/>
  <c r="C8" i="392"/>
  <c r="C7" i="392"/>
  <c r="C6" i="392"/>
  <c r="C5" i="392"/>
  <c r="B7" i="179"/>
  <c r="B16" i="74"/>
  <c r="C5" i="307"/>
  <c r="C6" i="307"/>
  <c r="C7" i="307"/>
  <c r="C8" i="307"/>
  <c r="C9" i="307"/>
  <c r="C10" i="307"/>
  <c r="C11" i="307"/>
  <c r="C12" i="307"/>
  <c r="C4" i="307"/>
  <c r="C12" i="392" l="1"/>
  <c r="A26" i="380" l="1"/>
  <c r="A27" i="380"/>
  <c r="A28" i="380"/>
  <c r="A29" i="380"/>
  <c r="A30" i="380"/>
  <c r="A31" i="380"/>
  <c r="A32" i="380"/>
  <c r="A33" i="380"/>
  <c r="A34" i="380"/>
  <c r="A35" i="380"/>
  <c r="A36" i="380"/>
  <c r="A37" i="380"/>
  <c r="A25" i="380"/>
  <c r="J4" i="274" l="1"/>
  <c r="F15" i="61"/>
  <c r="D35" i="334"/>
  <c r="D36" i="334"/>
  <c r="D37" i="334"/>
  <c r="D38" i="334"/>
  <c r="D39" i="334"/>
  <c r="D40" i="334"/>
  <c r="F14" i="427"/>
  <c r="E10" i="242"/>
  <c r="C10" i="241"/>
  <c r="B10" i="241"/>
  <c r="C10" i="214"/>
  <c r="B10" i="214"/>
  <c r="C10" i="240"/>
  <c r="B10" i="240"/>
  <c r="C10" i="239"/>
  <c r="B10" i="239"/>
  <c r="B10" i="238"/>
  <c r="H12" i="236"/>
  <c r="H11" i="236"/>
  <c r="H10" i="236"/>
  <c r="H9" i="236"/>
  <c r="H8" i="236"/>
  <c r="H7" i="236"/>
  <c r="H6" i="236"/>
  <c r="H5" i="236"/>
  <c r="H4" i="236"/>
  <c r="H8" i="235"/>
  <c r="H11" i="235"/>
  <c r="H10" i="235"/>
  <c r="H9" i="235"/>
  <c r="H7" i="235"/>
  <c r="H6" i="235"/>
  <c r="H5" i="235"/>
  <c r="H4" i="235"/>
  <c r="G10" i="233"/>
  <c r="F10" i="233"/>
  <c r="E10" i="233"/>
  <c r="D10" i="233"/>
  <c r="C10" i="233"/>
  <c r="B10" i="233"/>
  <c r="G10" i="232"/>
  <c r="F10" i="232"/>
  <c r="E10" i="232"/>
  <c r="D10" i="232"/>
  <c r="C10" i="232"/>
  <c r="B10" i="232"/>
  <c r="E10" i="231"/>
  <c r="D10" i="231"/>
  <c r="C10" i="231"/>
  <c r="B10" i="231"/>
  <c r="C10" i="229"/>
  <c r="B10" i="229"/>
  <c r="B10" i="230"/>
  <c r="N11" i="227"/>
  <c r="M11" i="227"/>
  <c r="L11" i="227"/>
  <c r="K11" i="227"/>
  <c r="J11" i="227"/>
  <c r="I11" i="227"/>
  <c r="G14" i="223"/>
  <c r="I14" i="223"/>
  <c r="E14" i="228"/>
  <c r="D14" i="228"/>
  <c r="C14" i="228"/>
  <c r="B14" i="228"/>
  <c r="G14" i="226"/>
  <c r="F14" i="226"/>
  <c r="E14" i="226"/>
  <c r="D14" i="226"/>
  <c r="C14" i="226"/>
  <c r="B14" i="226"/>
  <c r="C14" i="224"/>
  <c r="B14" i="224"/>
  <c r="C14" i="222"/>
  <c r="B14" i="222"/>
  <c r="C14" i="219"/>
  <c r="B14" i="219"/>
  <c r="M36" i="452"/>
  <c r="N33" i="452"/>
  <c r="N32" i="452"/>
  <c r="N16" i="452"/>
  <c r="N18" i="452"/>
  <c r="N10" i="452"/>
  <c r="N35" i="452"/>
  <c r="N13" i="452"/>
  <c r="L36" i="452"/>
  <c r="K36" i="452"/>
  <c r="J36" i="452"/>
  <c r="I36" i="452"/>
  <c r="H36" i="452"/>
  <c r="G36" i="452"/>
  <c r="F36" i="452"/>
  <c r="E36" i="452"/>
  <c r="D36" i="452"/>
  <c r="C36" i="452"/>
  <c r="B36" i="452"/>
  <c r="N8" i="452"/>
  <c r="N26" i="452"/>
  <c r="N5" i="452"/>
  <c r="N22" i="452"/>
  <c r="N11" i="452"/>
  <c r="N21" i="452"/>
  <c r="N25" i="452"/>
  <c r="N27" i="452"/>
  <c r="N9" i="452"/>
  <c r="N17" i="452"/>
  <c r="N34" i="452"/>
  <c r="N19" i="452"/>
  <c r="N20" i="452"/>
  <c r="N12" i="452"/>
  <c r="N7" i="452"/>
  <c r="N29" i="452"/>
  <c r="N23" i="452"/>
  <c r="N15" i="452"/>
  <c r="N14" i="452"/>
  <c r="N4" i="452"/>
  <c r="N30" i="452"/>
  <c r="N28" i="452"/>
  <c r="N31" i="452"/>
  <c r="N24" i="452"/>
  <c r="N6" i="452"/>
  <c r="N36" i="452" l="1"/>
  <c r="O7" i="452" s="1"/>
  <c r="O18" i="452" l="1"/>
  <c r="O32" i="452"/>
  <c r="O20" i="452"/>
  <c r="O19" i="452"/>
  <c r="O30" i="452"/>
  <c r="O28" i="452"/>
  <c r="O4" i="452"/>
  <c r="O14" i="452"/>
  <c r="O27" i="452"/>
  <c r="O11" i="452"/>
  <c r="O8" i="452"/>
  <c r="O25" i="452"/>
  <c r="O21" i="452"/>
  <c r="O34" i="452"/>
  <c r="O35" i="452"/>
  <c r="O26" i="452"/>
  <c r="O23" i="452"/>
  <c r="O24" i="452"/>
  <c r="O13" i="452"/>
  <c r="O5" i="452"/>
  <c r="O31" i="452"/>
  <c r="O10" i="452"/>
  <c r="O22" i="452"/>
  <c r="O9" i="452"/>
  <c r="O15" i="452"/>
  <c r="O16" i="452"/>
  <c r="O17" i="452"/>
  <c r="O6" i="452"/>
  <c r="O12" i="452"/>
  <c r="O33" i="452"/>
  <c r="O29" i="452"/>
  <c r="O36" i="452" l="1"/>
  <c r="I14" i="217"/>
  <c r="H14" i="217"/>
  <c r="G14" i="217"/>
  <c r="F14" i="217"/>
  <c r="E14" i="217"/>
  <c r="D14" i="217"/>
  <c r="C14" i="217"/>
  <c r="B14" i="217"/>
  <c r="B15" i="215"/>
  <c r="F18" i="79" l="1"/>
  <c r="D18" i="79"/>
  <c r="B18" i="79"/>
  <c r="H17" i="79"/>
  <c r="C17" i="79" s="1"/>
  <c r="G17" i="79" l="1"/>
  <c r="E17" i="79"/>
  <c r="B16" i="283"/>
  <c r="B12" i="447" l="1"/>
  <c r="B8" i="447"/>
  <c r="B9" i="447"/>
  <c r="B10" i="447"/>
  <c r="B11" i="447"/>
  <c r="C16" i="74"/>
  <c r="D15" i="74"/>
  <c r="D16" i="72"/>
  <c r="B13" i="447" l="1"/>
  <c r="C4" i="450"/>
  <c r="H16" i="54" l="1"/>
  <c r="D17" i="54"/>
  <c r="E17" i="54"/>
  <c r="G17" i="54"/>
  <c r="C17" i="54"/>
  <c r="E15" i="445"/>
  <c r="D15" i="445"/>
  <c r="B15" i="445"/>
  <c r="F15" i="445" l="1"/>
  <c r="J26" i="451"/>
  <c r="K19" i="451" s="1"/>
  <c r="G58" i="450"/>
  <c r="L33" i="450"/>
  <c r="K33" i="450"/>
  <c r="J33" i="450"/>
  <c r="I33" i="450"/>
  <c r="H33" i="450"/>
  <c r="G33" i="450"/>
  <c r="F33" i="450"/>
  <c r="E33" i="450"/>
  <c r="D33" i="450"/>
  <c r="C32" i="450"/>
  <c r="C31" i="450"/>
  <c r="C30" i="450"/>
  <c r="C29" i="450"/>
  <c r="C28" i="450"/>
  <c r="C27" i="450"/>
  <c r="C26" i="450"/>
  <c r="C25" i="450"/>
  <c r="C24" i="450"/>
  <c r="C23" i="450"/>
  <c r="C22" i="450"/>
  <c r="C21" i="450"/>
  <c r="C20" i="450"/>
  <c r="C19" i="450"/>
  <c r="C18" i="450"/>
  <c r="C17" i="450"/>
  <c r="C16" i="450"/>
  <c r="C15" i="450"/>
  <c r="C14" i="450"/>
  <c r="C13" i="450"/>
  <c r="C12" i="450"/>
  <c r="C11" i="450"/>
  <c r="C10" i="450"/>
  <c r="C9" i="450"/>
  <c r="C8" i="450"/>
  <c r="C7" i="450"/>
  <c r="C6" i="450"/>
  <c r="C5" i="450"/>
  <c r="K9" i="451" l="1"/>
  <c r="K10" i="451"/>
  <c r="K11" i="451"/>
  <c r="K16" i="451"/>
  <c r="K17" i="451"/>
  <c r="K18" i="451"/>
  <c r="K20" i="451"/>
  <c r="K8" i="451"/>
  <c r="K25" i="451"/>
  <c r="K4" i="451"/>
  <c r="K12" i="451"/>
  <c r="K21" i="451"/>
  <c r="K5" i="451"/>
  <c r="K13" i="451"/>
  <c r="K22" i="451"/>
  <c r="K6" i="451"/>
  <c r="K14" i="451"/>
  <c r="K23" i="451"/>
  <c r="K7" i="451"/>
  <c r="K15" i="451"/>
  <c r="K24" i="451"/>
  <c r="C33" i="450"/>
  <c r="K26" i="451" l="1"/>
  <c r="D8" i="380"/>
  <c r="B11" i="412" l="1"/>
  <c r="D4" i="412"/>
  <c r="E6" i="445" l="1"/>
  <c r="E7" i="445"/>
  <c r="E8" i="445"/>
  <c r="E9" i="445"/>
  <c r="E10" i="445"/>
  <c r="E11" i="445"/>
  <c r="E12" i="445"/>
  <c r="E13" i="445"/>
  <c r="E14" i="445"/>
  <c r="D6" i="445"/>
  <c r="D7" i="445"/>
  <c r="D8" i="445"/>
  <c r="D9" i="445"/>
  <c r="D10" i="445"/>
  <c r="D11" i="445"/>
  <c r="D12" i="445"/>
  <c r="D13" i="445"/>
  <c r="D14" i="445"/>
  <c r="L6" i="449"/>
  <c r="L7" i="449"/>
  <c r="L8" i="449"/>
  <c r="L9" i="449"/>
  <c r="L10" i="449"/>
  <c r="L11" i="449"/>
  <c r="L12" i="449"/>
  <c r="L13" i="449"/>
  <c r="L14" i="449"/>
  <c r="L15" i="449"/>
  <c r="L16" i="449"/>
  <c r="L17" i="449"/>
  <c r="B18" i="449"/>
  <c r="C16" i="349" l="1"/>
  <c r="D5" i="412" l="1"/>
  <c r="D6" i="412"/>
  <c r="D7" i="412"/>
  <c r="D8" i="412"/>
  <c r="D9" i="412"/>
  <c r="D10" i="412"/>
  <c r="C11" i="412"/>
  <c r="G7" i="449"/>
  <c r="G8" i="449"/>
  <c r="G9" i="449"/>
  <c r="G10" i="449"/>
  <c r="G11" i="449"/>
  <c r="G12" i="449"/>
  <c r="G13" i="449"/>
  <c r="G14" i="449"/>
  <c r="G15" i="449"/>
  <c r="G16" i="449"/>
  <c r="G17" i="449"/>
  <c r="G6" i="449"/>
  <c r="G5" i="449"/>
  <c r="B4" i="72"/>
  <c r="C4" i="72"/>
  <c r="B5" i="72"/>
  <c r="C5" i="72"/>
  <c r="C7" i="72"/>
  <c r="C8" i="72"/>
  <c r="C9" i="72"/>
  <c r="C10" i="72"/>
  <c r="C11" i="72"/>
  <c r="C12" i="72"/>
  <c r="C13" i="72"/>
  <c r="C14" i="72"/>
  <c r="C15" i="72"/>
  <c r="C6" i="72"/>
  <c r="B7" i="72"/>
  <c r="B8" i="72"/>
  <c r="B9" i="72"/>
  <c r="B10" i="72"/>
  <c r="B11" i="72"/>
  <c r="B12" i="72"/>
  <c r="B13" i="72"/>
  <c r="B14" i="72"/>
  <c r="B15" i="72"/>
  <c r="B6" i="72"/>
  <c r="B10" i="445"/>
  <c r="B11" i="445"/>
  <c r="B12" i="445"/>
  <c r="B13" i="445"/>
  <c r="B14" i="445"/>
  <c r="B9" i="445"/>
  <c r="D5" i="445"/>
  <c r="J18" i="449"/>
  <c r="I18" i="449"/>
  <c r="H18" i="449"/>
  <c r="F18" i="449"/>
  <c r="E18" i="449"/>
  <c r="D18" i="449"/>
  <c r="C18" i="449"/>
  <c r="N17" i="449"/>
  <c r="K17" i="449"/>
  <c r="N16" i="449"/>
  <c r="K16" i="449"/>
  <c r="N15" i="449"/>
  <c r="K15" i="449"/>
  <c r="N14" i="449"/>
  <c r="K14" i="449"/>
  <c r="N13" i="449"/>
  <c r="K13" i="449"/>
  <c r="N12" i="449"/>
  <c r="K12" i="449"/>
  <c r="N11" i="449"/>
  <c r="K11" i="449"/>
  <c r="N10" i="449"/>
  <c r="K10" i="449"/>
  <c r="N9" i="449"/>
  <c r="K9" i="449"/>
  <c r="N8" i="449"/>
  <c r="K8" i="449"/>
  <c r="N7" i="449"/>
  <c r="K7" i="449"/>
  <c r="N6" i="449"/>
  <c r="K6" i="449"/>
  <c r="N5" i="449"/>
  <c r="L5" i="449"/>
  <c r="K5" i="449"/>
  <c r="M12" i="449" l="1"/>
  <c r="M11" i="449"/>
  <c r="D11" i="412"/>
  <c r="M17" i="449"/>
  <c r="M6" i="449"/>
  <c r="M10" i="449"/>
  <c r="M9" i="449"/>
  <c r="M16" i="449"/>
  <c r="M8" i="449"/>
  <c r="M15" i="449"/>
  <c r="M7" i="449"/>
  <c r="M14" i="449"/>
  <c r="M13" i="449"/>
  <c r="D4" i="72"/>
  <c r="M5" i="449"/>
  <c r="D5" i="72"/>
  <c r="D6" i="72"/>
  <c r="G18" i="449"/>
  <c r="B17" i="72"/>
  <c r="C17" i="72"/>
  <c r="N18" i="449"/>
  <c r="K18" i="449"/>
  <c r="L18" i="449"/>
  <c r="M18" i="449" l="1"/>
  <c r="B6" i="425" l="1"/>
  <c r="B7" i="425"/>
  <c r="B8" i="425"/>
  <c r="B9" i="425"/>
  <c r="B10" i="425"/>
  <c r="B11" i="425"/>
  <c r="B12" i="425"/>
  <c r="B13" i="425"/>
  <c r="B14" i="425"/>
  <c r="B15" i="425"/>
  <c r="B5" i="425"/>
  <c r="B4" i="425"/>
  <c r="H16" i="79"/>
  <c r="C16" i="79" s="1"/>
  <c r="B12" i="29"/>
  <c r="D12" i="29"/>
  <c r="E12" i="29"/>
  <c r="F12" i="29"/>
  <c r="G12" i="29"/>
  <c r="H12" i="29"/>
  <c r="M12" i="29"/>
  <c r="N12" i="29"/>
  <c r="D14" i="74"/>
  <c r="F15" i="54"/>
  <c r="F17" i="54" s="1"/>
  <c r="B15" i="54"/>
  <c r="B17" i="54" s="1"/>
  <c r="E5" i="445"/>
  <c r="F6" i="445"/>
  <c r="F7" i="445"/>
  <c r="F8" i="445"/>
  <c r="F9" i="445"/>
  <c r="F10" i="445"/>
  <c r="F11" i="445"/>
  <c r="F12" i="445"/>
  <c r="F13" i="445"/>
  <c r="F14" i="445"/>
  <c r="G16" i="79" l="1"/>
  <c r="E16" i="79"/>
  <c r="O15" i="382" l="1"/>
  <c r="C15" i="374" l="1"/>
  <c r="C14" i="349"/>
  <c r="C13" i="349"/>
  <c r="C16" i="432"/>
  <c r="H4" i="54" l="1"/>
  <c r="H5" i="54"/>
  <c r="H6" i="54"/>
  <c r="H7" i="54"/>
  <c r="H8" i="54"/>
  <c r="H9" i="54"/>
  <c r="H10" i="54"/>
  <c r="H11" i="54"/>
  <c r="H12" i="54"/>
  <c r="H13" i="54"/>
  <c r="H15" i="54"/>
  <c r="H17" i="54" l="1"/>
  <c r="G6" i="226"/>
  <c r="G4" i="226"/>
  <c r="C15" i="215"/>
  <c r="B15" i="276"/>
  <c r="B14" i="276"/>
  <c r="B13" i="276"/>
  <c r="B12" i="276"/>
  <c r="B11" i="276"/>
  <c r="B10" i="276"/>
  <c r="D16" i="400"/>
  <c r="D10" i="74"/>
  <c r="D11" i="74"/>
  <c r="D5" i="400" l="1"/>
  <c r="D6" i="400"/>
  <c r="D7" i="400"/>
  <c r="D8" i="400"/>
  <c r="D9" i="400"/>
  <c r="D10" i="400"/>
  <c r="D11" i="400"/>
  <c r="D12" i="400"/>
  <c r="D13" i="400"/>
  <c r="D14" i="400"/>
  <c r="D15" i="400"/>
  <c r="D4" i="400"/>
  <c r="B17" i="400"/>
  <c r="E16" i="345"/>
  <c r="C5" i="434"/>
  <c r="F5" i="434" s="1"/>
  <c r="G5" i="434" s="1"/>
  <c r="C6" i="434"/>
  <c r="F6" i="434" s="1"/>
  <c r="G6" i="434" s="1"/>
  <c r="C7" i="434"/>
  <c r="F7" i="434" s="1"/>
  <c r="G7" i="434" s="1"/>
  <c r="C8" i="434"/>
  <c r="F8" i="434" s="1"/>
  <c r="G8" i="434" s="1"/>
  <c r="C9" i="434"/>
  <c r="F9" i="434" s="1"/>
  <c r="G9" i="434" s="1"/>
  <c r="C10" i="434"/>
  <c r="F10" i="434" s="1"/>
  <c r="G10" i="434" s="1"/>
  <c r="B11" i="434"/>
  <c r="C11" i="434"/>
  <c r="C12" i="434"/>
  <c r="F12" i="434" s="1"/>
  <c r="G12" i="434" s="1"/>
  <c r="C13" i="434"/>
  <c r="F13" i="434" s="1"/>
  <c r="G13" i="434" s="1"/>
  <c r="C14" i="434"/>
  <c r="F14" i="434" s="1"/>
  <c r="G14" i="434" s="1"/>
  <c r="C15" i="434"/>
  <c r="F15" i="434" s="1"/>
  <c r="G15" i="434" s="1"/>
  <c r="C16" i="434"/>
  <c r="F16" i="434"/>
  <c r="G16" i="434" s="1"/>
  <c r="C17" i="434"/>
  <c r="F17" i="434"/>
  <c r="G17" i="434" s="1"/>
  <c r="C18" i="434"/>
  <c r="F18" i="434"/>
  <c r="G18" i="434" s="1"/>
  <c r="C19" i="434"/>
  <c r="F19" i="434"/>
  <c r="G19" i="434" s="1"/>
  <c r="C20" i="434"/>
  <c r="F20" i="434"/>
  <c r="G20" i="434" s="1"/>
  <c r="C21" i="434"/>
  <c r="F21" i="434"/>
  <c r="G21" i="434" s="1"/>
  <c r="C22" i="434"/>
  <c r="F22" i="434"/>
  <c r="G22" i="434" s="1"/>
  <c r="C23" i="434"/>
  <c r="F23" i="434"/>
  <c r="G23" i="434" s="1"/>
  <c r="C24" i="434"/>
  <c r="G24" i="434" s="1"/>
  <c r="F24" i="434"/>
  <c r="C25" i="434"/>
  <c r="G25" i="434" s="1"/>
  <c r="F25" i="434"/>
  <c r="C26" i="434"/>
  <c r="G26" i="434" s="1"/>
  <c r="F26" i="434"/>
  <c r="F12" i="338"/>
  <c r="F16" i="432"/>
  <c r="E14" i="332"/>
  <c r="D10" i="72" l="1"/>
  <c r="D9" i="72"/>
  <c r="D13" i="72"/>
  <c r="D8" i="72"/>
  <c r="D14" i="72"/>
  <c r="D12" i="72"/>
  <c r="D15" i="72"/>
  <c r="D7" i="72"/>
  <c r="F11" i="434"/>
  <c r="G11" i="434" s="1"/>
  <c r="D16" i="445"/>
  <c r="D11" i="72"/>
  <c r="H15" i="79"/>
  <c r="H14" i="79"/>
  <c r="B16" i="78"/>
  <c r="D16" i="78"/>
  <c r="F16" i="78"/>
  <c r="H15" i="78"/>
  <c r="H14" i="78"/>
  <c r="H13" i="78"/>
  <c r="H12" i="78"/>
  <c r="H11" i="78"/>
  <c r="H10" i="78"/>
  <c r="H9" i="78"/>
  <c r="H8" i="78"/>
  <c r="H7" i="78"/>
  <c r="H6" i="78"/>
  <c r="H5" i="78"/>
  <c r="D17" i="72" l="1"/>
  <c r="F10" i="214"/>
  <c r="O11" i="227"/>
  <c r="H16" i="78"/>
  <c r="C12" i="444" l="1"/>
  <c r="C11" i="444"/>
  <c r="B9" i="276"/>
  <c r="C17" i="444" l="1"/>
  <c r="B9" i="391"/>
  <c r="C9" i="391"/>
  <c r="D9" i="391"/>
  <c r="E9" i="391"/>
  <c r="F9" i="391"/>
  <c r="G9" i="391"/>
  <c r="H9" i="391"/>
  <c r="I9" i="391"/>
  <c r="J9" i="391"/>
  <c r="K4" i="391" l="1"/>
  <c r="K5" i="391"/>
  <c r="K6" i="391"/>
  <c r="K7" i="391"/>
  <c r="K8" i="391"/>
  <c r="F5" i="445"/>
  <c r="K9" i="391" l="1"/>
  <c r="B6" i="276"/>
  <c r="B7" i="276"/>
  <c r="D13" i="74" l="1"/>
  <c r="F5" i="401"/>
  <c r="C17" i="400"/>
  <c r="F16" i="445" l="1"/>
  <c r="F17" i="387" l="1"/>
  <c r="F14" i="387"/>
  <c r="F6" i="427" l="1"/>
  <c r="H6" i="427" s="1"/>
  <c r="C5" i="349" l="1"/>
  <c r="C6" i="349"/>
  <c r="C7" i="349"/>
  <c r="C8" i="349"/>
  <c r="C9" i="349"/>
  <c r="C11" i="349"/>
  <c r="C12" i="349"/>
  <c r="E16" i="433"/>
  <c r="E15" i="398" l="1"/>
  <c r="D5" i="238" l="1"/>
  <c r="D6" i="238"/>
  <c r="D7" i="238"/>
  <c r="D8" i="238"/>
  <c r="D9" i="238"/>
  <c r="D4" i="238"/>
  <c r="G12" i="236"/>
  <c r="F12" i="236"/>
  <c r="E12" i="236"/>
  <c r="E16" i="283" l="1"/>
  <c r="E11" i="385" l="1"/>
  <c r="E5" i="385"/>
  <c r="G57" i="399" l="1"/>
  <c r="H16" i="399"/>
  <c r="E16" i="399"/>
  <c r="B6" i="399"/>
  <c r="H5" i="399"/>
  <c r="E5" i="399"/>
  <c r="B5" i="399"/>
  <c r="H4" i="399"/>
  <c r="E4" i="399"/>
  <c r="N15" i="398"/>
  <c r="M15" i="398"/>
  <c r="L15" i="398"/>
  <c r="K15" i="398"/>
  <c r="J15" i="398"/>
  <c r="I15" i="398"/>
  <c r="H15" i="398"/>
  <c r="G15" i="398"/>
  <c r="F15" i="398"/>
  <c r="D15" i="398"/>
  <c r="C15" i="398"/>
  <c r="B15" i="398"/>
  <c r="J10" i="424"/>
  <c r="I10" i="424"/>
  <c r="H10" i="424"/>
  <c r="G10" i="424"/>
  <c r="F10" i="424"/>
  <c r="E10" i="424"/>
  <c r="D10" i="424"/>
  <c r="C10" i="424"/>
  <c r="K9" i="424"/>
  <c r="K8" i="424"/>
  <c r="K7" i="424"/>
  <c r="K6" i="424"/>
  <c r="K5" i="424"/>
  <c r="K4" i="424"/>
  <c r="D13" i="423"/>
  <c r="C13" i="423"/>
  <c r="B13" i="423"/>
  <c r="E12" i="423"/>
  <c r="E11" i="423"/>
  <c r="E10" i="423"/>
  <c r="E9" i="423"/>
  <c r="E8" i="423"/>
  <c r="E7" i="423"/>
  <c r="E6" i="423"/>
  <c r="E5" i="423"/>
  <c r="C12" i="422"/>
  <c r="B12" i="422"/>
  <c r="D11" i="422"/>
  <c r="D10" i="422"/>
  <c r="D9" i="422"/>
  <c r="D8" i="422"/>
  <c r="D7" i="422"/>
  <c r="D6" i="422"/>
  <c r="D5" i="422"/>
  <c r="D4" i="422"/>
  <c r="G11" i="242"/>
  <c r="F11" i="242"/>
  <c r="E11" i="242"/>
  <c r="D11" i="242"/>
  <c r="C11" i="242"/>
  <c r="B11" i="242"/>
  <c r="H10" i="242"/>
  <c r="H9" i="242"/>
  <c r="J9" i="242" s="1"/>
  <c r="H8" i="242"/>
  <c r="H7" i="242"/>
  <c r="K7" i="242" s="1"/>
  <c r="H6" i="242"/>
  <c r="J6" i="242" s="1"/>
  <c r="H5" i="242"/>
  <c r="J5" i="242" s="1"/>
  <c r="H4" i="242"/>
  <c r="L4" i="242" s="1"/>
  <c r="E11" i="241"/>
  <c r="D11" i="241"/>
  <c r="C11" i="241"/>
  <c r="B11" i="241"/>
  <c r="F10" i="241"/>
  <c r="F9" i="241"/>
  <c r="H9" i="241" s="1"/>
  <c r="F8" i="241"/>
  <c r="J8" i="241" s="1"/>
  <c r="F7" i="241"/>
  <c r="F6" i="241"/>
  <c r="G6" i="241" s="1"/>
  <c r="F5" i="241"/>
  <c r="H5" i="241" s="1"/>
  <c r="F4" i="241"/>
  <c r="H4" i="241" s="1"/>
  <c r="E11" i="214"/>
  <c r="D11" i="214"/>
  <c r="C11" i="214"/>
  <c r="B11" i="214"/>
  <c r="F9" i="214"/>
  <c r="F8" i="214"/>
  <c r="I8" i="214" s="1"/>
  <c r="F7" i="214"/>
  <c r="I7" i="214" s="1"/>
  <c r="F6" i="214"/>
  <c r="I6" i="214" s="1"/>
  <c r="F5" i="214"/>
  <c r="F4" i="214"/>
  <c r="C11" i="240"/>
  <c r="B11" i="240"/>
  <c r="D9" i="240"/>
  <c r="F9" i="240" s="1"/>
  <c r="D8" i="240"/>
  <c r="D7" i="240"/>
  <c r="D6" i="240"/>
  <c r="D5" i="240"/>
  <c r="D4" i="240"/>
  <c r="C11" i="239"/>
  <c r="B11" i="239"/>
  <c r="D10" i="239"/>
  <c r="E10" i="239" s="1"/>
  <c r="D9" i="239"/>
  <c r="D8" i="239"/>
  <c r="D7" i="239"/>
  <c r="D6" i="239"/>
  <c r="D5" i="239"/>
  <c r="D4" i="239"/>
  <c r="F4" i="239" s="1"/>
  <c r="B11" i="238"/>
  <c r="G13" i="236"/>
  <c r="F13" i="236"/>
  <c r="E13" i="236"/>
  <c r="D13" i="236"/>
  <c r="C13" i="236"/>
  <c r="B13" i="236"/>
  <c r="I12" i="236"/>
  <c r="I11" i="236"/>
  <c r="I10" i="236"/>
  <c r="I9" i="236"/>
  <c r="I8" i="236"/>
  <c r="I7" i="236"/>
  <c r="I6" i="236"/>
  <c r="I5" i="236"/>
  <c r="I4" i="236"/>
  <c r="G12" i="235"/>
  <c r="F12" i="235"/>
  <c r="E12" i="235"/>
  <c r="D12" i="235"/>
  <c r="C12" i="235"/>
  <c r="B12" i="235"/>
  <c r="I11" i="235"/>
  <c r="I10" i="235"/>
  <c r="I9" i="235"/>
  <c r="I8" i="235"/>
  <c r="I7" i="235"/>
  <c r="I6" i="235"/>
  <c r="I5" i="235"/>
  <c r="I4" i="235"/>
  <c r="G11" i="233"/>
  <c r="D11" i="233"/>
  <c r="B11" i="233"/>
  <c r="H9" i="233"/>
  <c r="M9" i="233" s="1"/>
  <c r="H8" i="233"/>
  <c r="L8" i="233" s="1"/>
  <c r="H7" i="233"/>
  <c r="I7" i="233" s="1"/>
  <c r="H6" i="233"/>
  <c r="J6" i="233" s="1"/>
  <c r="H5" i="233"/>
  <c r="M5" i="233" s="1"/>
  <c r="H4" i="233"/>
  <c r="M4" i="233" s="1"/>
  <c r="G11" i="232"/>
  <c r="F11" i="232"/>
  <c r="E11" i="232"/>
  <c r="C11" i="232"/>
  <c r="H9" i="232"/>
  <c r="H8" i="232"/>
  <c r="N8" i="232" s="1"/>
  <c r="H7" i="232"/>
  <c r="M7" i="232" s="1"/>
  <c r="H6" i="232"/>
  <c r="J6" i="232" s="1"/>
  <c r="H5" i="232"/>
  <c r="H4" i="232"/>
  <c r="J4" i="232" s="1"/>
  <c r="E11" i="231"/>
  <c r="D11" i="231"/>
  <c r="C11" i="231"/>
  <c r="B11" i="231"/>
  <c r="F9" i="231"/>
  <c r="H9" i="231" s="1"/>
  <c r="F8" i="231"/>
  <c r="H8" i="231" s="1"/>
  <c r="F7" i="231"/>
  <c r="F6" i="231"/>
  <c r="I6" i="231" s="1"/>
  <c r="F5" i="231"/>
  <c r="H5" i="231" s="1"/>
  <c r="F4" i="231"/>
  <c r="C11" i="229"/>
  <c r="B11" i="229"/>
  <c r="D9" i="229"/>
  <c r="E9" i="229" s="1"/>
  <c r="D8" i="229"/>
  <c r="F8" i="229" s="1"/>
  <c r="D7" i="229"/>
  <c r="D6" i="229"/>
  <c r="D5" i="229"/>
  <c r="D4" i="229"/>
  <c r="B11" i="230"/>
  <c r="P10" i="227"/>
  <c r="O10" i="227"/>
  <c r="G10" i="227"/>
  <c r="F10" i="227"/>
  <c r="E10" i="227"/>
  <c r="D10" i="227"/>
  <c r="R10" i="227" s="1"/>
  <c r="C10" i="227"/>
  <c r="T9" i="227"/>
  <c r="S9" i="227"/>
  <c r="R9" i="227"/>
  <c r="Q9" i="227"/>
  <c r="P9" i="227"/>
  <c r="O9" i="227"/>
  <c r="G9" i="227"/>
  <c r="U9" i="227" s="1"/>
  <c r="T8" i="227"/>
  <c r="S8" i="227"/>
  <c r="R8" i="227"/>
  <c r="Q8" i="227"/>
  <c r="P8" i="227"/>
  <c r="O8" i="227"/>
  <c r="G8" i="227"/>
  <c r="T7" i="227"/>
  <c r="S7" i="227"/>
  <c r="R7" i="227"/>
  <c r="Q7" i="227"/>
  <c r="P7" i="227"/>
  <c r="O7" i="227"/>
  <c r="G7" i="227"/>
  <c r="T6" i="227"/>
  <c r="S6" i="227"/>
  <c r="R6" i="227"/>
  <c r="Q6" i="227"/>
  <c r="P6" i="227"/>
  <c r="O6" i="227"/>
  <c r="G6" i="227"/>
  <c r="T5" i="227"/>
  <c r="S5" i="227"/>
  <c r="R5" i="227"/>
  <c r="Q5" i="227"/>
  <c r="P5" i="227"/>
  <c r="O5" i="227"/>
  <c r="G5" i="227"/>
  <c r="T4" i="227"/>
  <c r="S4" i="227"/>
  <c r="R4" i="227"/>
  <c r="Q4" i="227"/>
  <c r="P4" i="227"/>
  <c r="O4" i="227"/>
  <c r="G4" i="227"/>
  <c r="U4" i="227" s="1"/>
  <c r="I11" i="225"/>
  <c r="K10" i="225"/>
  <c r="J10" i="225"/>
  <c r="I10" i="225"/>
  <c r="D10" i="225"/>
  <c r="F10" i="225" s="1"/>
  <c r="K9" i="225"/>
  <c r="I9" i="225"/>
  <c r="B9" i="225"/>
  <c r="J9" i="225" s="1"/>
  <c r="K8" i="225"/>
  <c r="J8" i="225"/>
  <c r="I8" i="225"/>
  <c r="D8" i="225"/>
  <c r="K7" i="225"/>
  <c r="J7" i="225"/>
  <c r="I7" i="225"/>
  <c r="D7" i="225"/>
  <c r="K6" i="225"/>
  <c r="J6" i="225"/>
  <c r="I6" i="225"/>
  <c r="D6" i="225"/>
  <c r="K5" i="225"/>
  <c r="J5" i="225"/>
  <c r="I5" i="225"/>
  <c r="D5" i="225"/>
  <c r="F5" i="225" s="1"/>
  <c r="K4" i="225"/>
  <c r="J4" i="225"/>
  <c r="I4" i="225"/>
  <c r="D4" i="225"/>
  <c r="B14" i="223"/>
  <c r="K13" i="223"/>
  <c r="G13" i="223"/>
  <c r="I13" i="223" s="1"/>
  <c r="D13" i="223"/>
  <c r="K12" i="223"/>
  <c r="G12" i="223"/>
  <c r="J12" i="223" s="1"/>
  <c r="D12" i="223"/>
  <c r="K11" i="223"/>
  <c r="G11" i="223"/>
  <c r="D11" i="223"/>
  <c r="K10" i="223"/>
  <c r="J10" i="223"/>
  <c r="I10" i="223"/>
  <c r="D10" i="223"/>
  <c r="K9" i="223"/>
  <c r="J9" i="223"/>
  <c r="I9" i="223"/>
  <c r="D9" i="223"/>
  <c r="K8" i="223"/>
  <c r="J8" i="223"/>
  <c r="I8" i="223"/>
  <c r="D8" i="223"/>
  <c r="E8" i="223" s="1"/>
  <c r="K7" i="223"/>
  <c r="G7" i="223"/>
  <c r="D7" i="223"/>
  <c r="F7" i="223" s="1"/>
  <c r="D6" i="223"/>
  <c r="D5" i="223"/>
  <c r="D4" i="223"/>
  <c r="E4" i="223" s="1"/>
  <c r="B15" i="228"/>
  <c r="E15" i="228"/>
  <c r="D15" i="228"/>
  <c r="C15" i="228"/>
  <c r="G13" i="228"/>
  <c r="J13" i="228" s="1"/>
  <c r="G12" i="228"/>
  <c r="L12" i="228" s="1"/>
  <c r="G11" i="228"/>
  <c r="G10" i="228"/>
  <c r="L10" i="228" s="1"/>
  <c r="G9" i="228"/>
  <c r="I9" i="228" s="1"/>
  <c r="G8" i="228"/>
  <c r="G7" i="228"/>
  <c r="J7" i="228" s="1"/>
  <c r="G6" i="228"/>
  <c r="G5" i="228"/>
  <c r="I5" i="228" s="1"/>
  <c r="G4" i="228"/>
  <c r="B15" i="226"/>
  <c r="E11" i="227"/>
  <c r="B11" i="227"/>
  <c r="P11" i="227" s="1"/>
  <c r="H13" i="226"/>
  <c r="H12" i="226"/>
  <c r="K12" i="226" s="1"/>
  <c r="H11" i="226"/>
  <c r="H10" i="226"/>
  <c r="K10" i="226" s="1"/>
  <c r="H9" i="226"/>
  <c r="H8" i="226"/>
  <c r="L8" i="226" s="1"/>
  <c r="H7" i="226"/>
  <c r="H6" i="226"/>
  <c r="L6" i="226" s="1"/>
  <c r="H5" i="226"/>
  <c r="H4" i="226"/>
  <c r="K4" i="226" s="1"/>
  <c r="C11" i="225"/>
  <c r="D13" i="224"/>
  <c r="F13" i="224" s="1"/>
  <c r="D12" i="224"/>
  <c r="F12" i="224" s="1"/>
  <c r="D11" i="224"/>
  <c r="D10" i="224"/>
  <c r="E10" i="224" s="1"/>
  <c r="D9" i="224"/>
  <c r="D8" i="224"/>
  <c r="D7" i="224"/>
  <c r="D6" i="224"/>
  <c r="D5" i="224"/>
  <c r="E5" i="224" s="1"/>
  <c r="D4" i="224"/>
  <c r="F4" i="224" s="1"/>
  <c r="D15" i="222"/>
  <c r="B15" i="222"/>
  <c r="E13" i="222"/>
  <c r="E12" i="222"/>
  <c r="E11" i="222"/>
  <c r="E10" i="222"/>
  <c r="E9" i="222"/>
  <c r="E8" i="222"/>
  <c r="E7" i="222"/>
  <c r="G7" i="222" s="1"/>
  <c r="E6" i="222"/>
  <c r="F6" i="222" s="1"/>
  <c r="E5" i="222"/>
  <c r="F5" i="222" s="1"/>
  <c r="E4" i="222"/>
  <c r="G4" i="222" s="1"/>
  <c r="D15" i="219"/>
  <c r="B15" i="219"/>
  <c r="E13" i="219"/>
  <c r="F13" i="219" s="1"/>
  <c r="E12" i="219"/>
  <c r="E11" i="219"/>
  <c r="E10" i="219"/>
  <c r="H10" i="219" s="1"/>
  <c r="E9" i="219"/>
  <c r="E8" i="219"/>
  <c r="G8" i="219" s="1"/>
  <c r="E7" i="219"/>
  <c r="H7" i="219" s="1"/>
  <c r="E6" i="219"/>
  <c r="G6" i="219" s="1"/>
  <c r="E5" i="219"/>
  <c r="E4" i="219"/>
  <c r="J15" i="217"/>
  <c r="H15" i="217"/>
  <c r="E15" i="217"/>
  <c r="F15" i="217"/>
  <c r="C15" i="217"/>
  <c r="K13" i="217"/>
  <c r="R13" i="217" s="1"/>
  <c r="K12" i="217"/>
  <c r="T12" i="217" s="1"/>
  <c r="K11" i="217"/>
  <c r="N11" i="217" s="1"/>
  <c r="K10" i="217"/>
  <c r="O10" i="217" s="1"/>
  <c r="K9" i="217"/>
  <c r="M9" i="217" s="1"/>
  <c r="K8" i="217"/>
  <c r="K7" i="217"/>
  <c r="K6" i="217"/>
  <c r="O6" i="217" s="1"/>
  <c r="K5" i="217"/>
  <c r="P5" i="217" s="1"/>
  <c r="K4" i="217"/>
  <c r="D14" i="215"/>
  <c r="C14" i="389" s="1"/>
  <c r="D13" i="215"/>
  <c r="D12" i="215"/>
  <c r="C12" i="389" s="1"/>
  <c r="E12" i="389" s="1"/>
  <c r="D11" i="215"/>
  <c r="C11" i="389" s="1"/>
  <c r="D10" i="215"/>
  <c r="C10" i="389" s="1"/>
  <c r="D10" i="389" s="1"/>
  <c r="D9" i="215"/>
  <c r="C9" i="389" s="1"/>
  <c r="D8" i="215"/>
  <c r="C8" i="389" s="1"/>
  <c r="D7" i="215"/>
  <c r="C7" i="389" s="1"/>
  <c r="E7" i="389" s="1"/>
  <c r="D6" i="215"/>
  <c r="C6" i="389" s="1"/>
  <c r="E6" i="389" s="1"/>
  <c r="D5" i="215"/>
  <c r="C5" i="389" s="1"/>
  <c r="D4" i="215"/>
  <c r="C4" i="389" s="1"/>
  <c r="H17" i="282"/>
  <c r="H15" i="282"/>
  <c r="G14" i="282"/>
  <c r="C13" i="282"/>
  <c r="H12" i="282"/>
  <c r="C12" i="282"/>
  <c r="C11" i="282"/>
  <c r="C10" i="282"/>
  <c r="H9" i="282"/>
  <c r="C9" i="282"/>
  <c r="H8" i="282"/>
  <c r="C8" i="282"/>
  <c r="C7" i="282"/>
  <c r="G6" i="282"/>
  <c r="G8" i="396"/>
  <c r="F8" i="396"/>
  <c r="E8" i="396"/>
  <c r="D8" i="396"/>
  <c r="C8" i="396"/>
  <c r="H7" i="396"/>
  <c r="I7" i="396" s="1"/>
  <c r="H6" i="396"/>
  <c r="B6" i="396"/>
  <c r="H5" i="396"/>
  <c r="B5" i="396"/>
  <c r="H7" i="397"/>
  <c r="G7" i="397"/>
  <c r="F7" i="397"/>
  <c r="E7" i="397"/>
  <c r="D7" i="397"/>
  <c r="C7" i="397"/>
  <c r="B7" i="397"/>
  <c r="I6" i="397"/>
  <c r="I5" i="397"/>
  <c r="I4" i="397"/>
  <c r="H13" i="79"/>
  <c r="C13" i="79" s="1"/>
  <c r="H12" i="79"/>
  <c r="H11" i="79"/>
  <c r="C11" i="79" s="1"/>
  <c r="H10" i="79"/>
  <c r="E10" i="79" s="1"/>
  <c r="H9" i="79"/>
  <c r="H8" i="79"/>
  <c r="E8" i="79" s="1"/>
  <c r="H7" i="79"/>
  <c r="E7" i="79" s="1"/>
  <c r="H6" i="79"/>
  <c r="G6" i="79" s="1"/>
  <c r="H5" i="79"/>
  <c r="E12" i="78"/>
  <c r="C12" i="78"/>
  <c r="E10" i="78"/>
  <c r="C10" i="78"/>
  <c r="G8" i="78"/>
  <c r="E7" i="78"/>
  <c r="E6" i="78"/>
  <c r="G5" i="78"/>
  <c r="E5" i="78"/>
  <c r="C5" i="78"/>
  <c r="D17" i="395"/>
  <c r="D16" i="395"/>
  <c r="B15" i="395"/>
  <c r="D15" i="395" s="1"/>
  <c r="D14" i="395"/>
  <c r="D13" i="395"/>
  <c r="D12" i="395"/>
  <c r="D11" i="395"/>
  <c r="D10" i="395"/>
  <c r="D9" i="395"/>
  <c r="D8" i="395"/>
  <c r="D7" i="395"/>
  <c r="D6" i="395"/>
  <c r="D5" i="395"/>
  <c r="E15" i="283"/>
  <c r="C15" i="283"/>
  <c r="E14" i="283"/>
  <c r="C14" i="283"/>
  <c r="E13" i="283"/>
  <c r="C13" i="283"/>
  <c r="E12" i="283"/>
  <c r="C12" i="283"/>
  <c r="E11" i="283"/>
  <c r="C11" i="283"/>
  <c r="E10" i="283"/>
  <c r="C10" i="283"/>
  <c r="E9" i="283"/>
  <c r="C9" i="283"/>
  <c r="E8" i="283"/>
  <c r="C8" i="283"/>
  <c r="E7" i="283"/>
  <c r="C7" i="283"/>
  <c r="E6" i="283"/>
  <c r="E5" i="283"/>
  <c r="C5" i="283"/>
  <c r="E4" i="283"/>
  <c r="J17" i="444"/>
  <c r="I17" i="444"/>
  <c r="H17" i="444"/>
  <c r="G17" i="444"/>
  <c r="F17" i="444"/>
  <c r="E17" i="444"/>
  <c r="B17" i="444"/>
  <c r="K16" i="444"/>
  <c r="K15" i="444"/>
  <c r="K14" i="444"/>
  <c r="K13" i="444"/>
  <c r="K12" i="444"/>
  <c r="K11" i="444"/>
  <c r="K10" i="444"/>
  <c r="K9" i="444"/>
  <c r="D8" i="444"/>
  <c r="K7" i="444"/>
  <c r="K6" i="444"/>
  <c r="K5" i="444"/>
  <c r="K4" i="444"/>
  <c r="B8" i="276"/>
  <c r="B5" i="276"/>
  <c r="B4" i="276"/>
  <c r="O11" i="29"/>
  <c r="O10" i="29"/>
  <c r="O9" i="29"/>
  <c r="O8" i="29"/>
  <c r="O7" i="29"/>
  <c r="O6" i="29"/>
  <c r="O5" i="29"/>
  <c r="O4" i="29"/>
  <c r="E19" i="448"/>
  <c r="E15" i="448"/>
  <c r="E14" i="448"/>
  <c r="E13" i="448"/>
  <c r="E12" i="448"/>
  <c r="E11" i="448"/>
  <c r="E10" i="448"/>
  <c r="E9" i="448"/>
  <c r="E8" i="448"/>
  <c r="E7" i="448"/>
  <c r="D12" i="74"/>
  <c r="D9" i="74"/>
  <c r="D8" i="74"/>
  <c r="D7" i="74"/>
  <c r="D6" i="74"/>
  <c r="D5" i="74"/>
  <c r="D4" i="74"/>
  <c r="D3" i="74"/>
  <c r="B3" i="177"/>
  <c r="C16" i="445"/>
  <c r="B16" i="445"/>
  <c r="B19" i="445" s="1"/>
  <c r="H15" i="445"/>
  <c r="H13" i="445"/>
  <c r="H12" i="445"/>
  <c r="H11" i="445"/>
  <c r="H10" i="445"/>
  <c r="H9" i="445"/>
  <c r="H8" i="445"/>
  <c r="H7" i="445"/>
  <c r="H6" i="445"/>
  <c r="H5" i="445"/>
  <c r="E17" i="401"/>
  <c r="D17" i="401"/>
  <c r="C17" i="401"/>
  <c r="B17" i="401"/>
  <c r="F16" i="401"/>
  <c r="F15" i="401"/>
  <c r="F14" i="401"/>
  <c r="F13" i="401"/>
  <c r="F12" i="401"/>
  <c r="F11" i="401"/>
  <c r="F10" i="401"/>
  <c r="F9" i="401"/>
  <c r="F8" i="401"/>
  <c r="F7" i="401"/>
  <c r="F6" i="401"/>
  <c r="F4" i="401"/>
  <c r="B13" i="389"/>
  <c r="E5" i="389"/>
  <c r="D5" i="389"/>
  <c r="F13" i="387"/>
  <c r="F12" i="387"/>
  <c r="F11" i="387"/>
  <c r="F10" i="387"/>
  <c r="F9" i="387"/>
  <c r="F8" i="387"/>
  <c r="F7" i="387"/>
  <c r="F6" i="387"/>
  <c r="F5" i="387"/>
  <c r="AW20" i="386"/>
  <c r="AY19" i="386"/>
  <c r="AY18" i="386"/>
  <c r="E39" i="386"/>
  <c r="D39" i="386"/>
  <c r="F18" i="386"/>
  <c r="D18" i="386"/>
  <c r="AY17" i="386"/>
  <c r="E38" i="386"/>
  <c r="D38" i="386"/>
  <c r="B17" i="386"/>
  <c r="E17" i="386" s="1"/>
  <c r="AY16" i="386"/>
  <c r="E37" i="386"/>
  <c r="D37" i="386"/>
  <c r="B16" i="386"/>
  <c r="AY15" i="386"/>
  <c r="E36" i="386"/>
  <c r="D36" i="386"/>
  <c r="B15" i="386"/>
  <c r="E15" i="386" s="1"/>
  <c r="AY14" i="386"/>
  <c r="E35" i="386"/>
  <c r="D35" i="386"/>
  <c r="B14" i="386"/>
  <c r="G14" i="386" s="1"/>
  <c r="AY13" i="386"/>
  <c r="E34" i="386"/>
  <c r="D34" i="386"/>
  <c r="B13" i="386"/>
  <c r="E13" i="386" s="1"/>
  <c r="AY12" i="386"/>
  <c r="E33" i="386"/>
  <c r="D33" i="386"/>
  <c r="B12" i="386"/>
  <c r="AY11" i="386"/>
  <c r="E32" i="386"/>
  <c r="D32" i="386"/>
  <c r="B11" i="386"/>
  <c r="E11" i="386" s="1"/>
  <c r="AY10" i="386"/>
  <c r="E31" i="386"/>
  <c r="D31" i="386"/>
  <c r="B10" i="386"/>
  <c r="G10" i="386" s="1"/>
  <c r="AY9" i="386"/>
  <c r="E30" i="386"/>
  <c r="D30" i="386"/>
  <c r="B9" i="386"/>
  <c r="E9" i="386" s="1"/>
  <c r="AY8" i="386"/>
  <c r="E29" i="386"/>
  <c r="D29" i="386"/>
  <c r="B8" i="386"/>
  <c r="AY7" i="386"/>
  <c r="E28" i="386"/>
  <c r="D28" i="386"/>
  <c r="B7" i="386"/>
  <c r="AX6" i="386"/>
  <c r="E27" i="386"/>
  <c r="D27" i="386"/>
  <c r="B6" i="386"/>
  <c r="AX5" i="386"/>
  <c r="E26" i="386"/>
  <c r="D26" i="386"/>
  <c r="B5" i="386"/>
  <c r="G5" i="386" s="1"/>
  <c r="E25" i="386"/>
  <c r="D25" i="386"/>
  <c r="B4" i="386"/>
  <c r="B3" i="386"/>
  <c r="F11" i="385"/>
  <c r="F10" i="385"/>
  <c r="F9" i="385"/>
  <c r="E9" i="385"/>
  <c r="C9" i="385"/>
  <c r="F8" i="385"/>
  <c r="E8" i="385"/>
  <c r="C8" i="385"/>
  <c r="F7" i="385"/>
  <c r="E7" i="385"/>
  <c r="C7" i="385"/>
  <c r="F6" i="385"/>
  <c r="E6" i="385"/>
  <c r="C6" i="385"/>
  <c r="F5" i="385"/>
  <c r="C5" i="385"/>
  <c r="F4" i="385"/>
  <c r="F37" i="446"/>
  <c r="E37" i="446"/>
  <c r="D37" i="446"/>
  <c r="C37" i="446"/>
  <c r="B37" i="446"/>
  <c r="G4" i="446"/>
  <c r="G17" i="446"/>
  <c r="G6" i="446"/>
  <c r="G32" i="446"/>
  <c r="G7" i="446"/>
  <c r="G22" i="446"/>
  <c r="G10" i="446"/>
  <c r="G19" i="446"/>
  <c r="G34" i="446"/>
  <c r="G8" i="446"/>
  <c r="G27" i="446"/>
  <c r="G12" i="446"/>
  <c r="G18" i="446"/>
  <c r="G35" i="446"/>
  <c r="G26" i="446"/>
  <c r="G23" i="446"/>
  <c r="G16" i="446"/>
  <c r="G24" i="446"/>
  <c r="G11" i="446"/>
  <c r="G9" i="446"/>
  <c r="G13" i="446"/>
  <c r="G33" i="446"/>
  <c r="G28" i="446"/>
  <c r="G25" i="446"/>
  <c r="G14" i="446"/>
  <c r="G36" i="446"/>
  <c r="G29" i="446"/>
  <c r="G15" i="446"/>
  <c r="G5" i="446"/>
  <c r="G31" i="446"/>
  <c r="G21" i="446"/>
  <c r="G30" i="446"/>
  <c r="G20" i="446"/>
  <c r="O17" i="384"/>
  <c r="N17" i="384"/>
  <c r="J17" i="384"/>
  <c r="I17" i="384"/>
  <c r="H17" i="384"/>
  <c r="G17" i="384"/>
  <c r="O15" i="384"/>
  <c r="M15" i="384"/>
  <c r="L15" i="384"/>
  <c r="J15" i="384"/>
  <c r="F15" i="384"/>
  <c r="D15" i="384"/>
  <c r="C15" i="384"/>
  <c r="B15" i="384"/>
  <c r="O14" i="384"/>
  <c r="L14" i="384"/>
  <c r="F14" i="384"/>
  <c r="D14" i="384"/>
  <c r="C14" i="384"/>
  <c r="B14" i="384"/>
  <c r="A14" i="384"/>
  <c r="O13" i="384"/>
  <c r="N13" i="384"/>
  <c r="M13" i="384"/>
  <c r="L13" i="384"/>
  <c r="J13" i="384"/>
  <c r="I13" i="384"/>
  <c r="H13" i="384"/>
  <c r="G13" i="384"/>
  <c r="F13" i="384"/>
  <c r="E13" i="384"/>
  <c r="D13" i="384"/>
  <c r="C13" i="384"/>
  <c r="B13" i="384"/>
  <c r="O12" i="384"/>
  <c r="N12" i="384"/>
  <c r="M12" i="384"/>
  <c r="L12" i="384"/>
  <c r="J12" i="384"/>
  <c r="I12" i="384"/>
  <c r="H12" i="384"/>
  <c r="G12" i="384"/>
  <c r="F12" i="384"/>
  <c r="E12" i="384"/>
  <c r="D12" i="384"/>
  <c r="C12" i="384"/>
  <c r="B12" i="384"/>
  <c r="O11" i="384"/>
  <c r="N11" i="384"/>
  <c r="M11" i="384"/>
  <c r="L11" i="384"/>
  <c r="J11" i="384"/>
  <c r="I11" i="384"/>
  <c r="H11" i="384"/>
  <c r="G11" i="384"/>
  <c r="F11" i="384"/>
  <c r="E11" i="384"/>
  <c r="D11" i="384"/>
  <c r="C11" i="384"/>
  <c r="B11" i="384"/>
  <c r="O10" i="384"/>
  <c r="N10" i="384"/>
  <c r="M10" i="384"/>
  <c r="L10" i="384"/>
  <c r="J10" i="384"/>
  <c r="I10" i="384"/>
  <c r="H10" i="384"/>
  <c r="G10" i="384"/>
  <c r="F10" i="384"/>
  <c r="E10" i="384"/>
  <c r="D10" i="384"/>
  <c r="C10" i="384"/>
  <c r="B10" i="384"/>
  <c r="O9" i="384"/>
  <c r="N9" i="384"/>
  <c r="M9" i="384"/>
  <c r="L9" i="384"/>
  <c r="J9" i="384"/>
  <c r="I9" i="384"/>
  <c r="H9" i="384"/>
  <c r="G9" i="384"/>
  <c r="F9" i="384"/>
  <c r="E9" i="384"/>
  <c r="D9" i="384"/>
  <c r="C9" i="384"/>
  <c r="B9" i="384"/>
  <c r="O8" i="384"/>
  <c r="N8" i="384"/>
  <c r="M8" i="384"/>
  <c r="L8" i="384"/>
  <c r="J8" i="384"/>
  <c r="I8" i="384"/>
  <c r="H8" i="384"/>
  <c r="G8" i="384"/>
  <c r="F8" i="384"/>
  <c r="E8" i="384"/>
  <c r="D8" i="384"/>
  <c r="C8" i="384"/>
  <c r="B8" i="384"/>
  <c r="O7" i="384"/>
  <c r="N7" i="384"/>
  <c r="M7" i="384"/>
  <c r="L7" i="384"/>
  <c r="J7" i="384"/>
  <c r="I7" i="384"/>
  <c r="H7" i="384"/>
  <c r="G7" i="384"/>
  <c r="F7" i="384"/>
  <c r="E7" i="384"/>
  <c r="D7" i="384"/>
  <c r="C7" i="384"/>
  <c r="B7" i="384"/>
  <c r="O6" i="384"/>
  <c r="N6" i="384"/>
  <c r="M6" i="384"/>
  <c r="L6" i="384"/>
  <c r="J6" i="384"/>
  <c r="I6" i="384"/>
  <c r="H6" i="384"/>
  <c r="G6" i="384"/>
  <c r="F6" i="384"/>
  <c r="E6" i="384"/>
  <c r="D6" i="384"/>
  <c r="C6" i="384"/>
  <c r="B6" i="384"/>
  <c r="O5" i="384"/>
  <c r="N5" i="384"/>
  <c r="M5" i="384"/>
  <c r="L5" i="384"/>
  <c r="J5" i="384"/>
  <c r="I5" i="384"/>
  <c r="H5" i="384"/>
  <c r="G5" i="384"/>
  <c r="F5" i="384"/>
  <c r="E5" i="384"/>
  <c r="D5" i="384"/>
  <c r="C5" i="384"/>
  <c r="B5" i="384"/>
  <c r="O16" i="383"/>
  <c r="N16" i="383"/>
  <c r="L16" i="383"/>
  <c r="J16" i="383"/>
  <c r="I16" i="383"/>
  <c r="F16" i="383"/>
  <c r="D16" i="383"/>
  <c r="C16" i="383"/>
  <c r="B16" i="383"/>
  <c r="P15" i="383"/>
  <c r="E16" i="383"/>
  <c r="M14" i="383"/>
  <c r="M16" i="383" s="1"/>
  <c r="H14" i="383"/>
  <c r="K14" i="383" s="1"/>
  <c r="A14" i="383"/>
  <c r="P13" i="383"/>
  <c r="K13" i="383"/>
  <c r="P12" i="383"/>
  <c r="K12" i="383"/>
  <c r="P11" i="383"/>
  <c r="K11" i="383"/>
  <c r="P10" i="383"/>
  <c r="K10" i="383"/>
  <c r="P9" i="383"/>
  <c r="K9" i="383"/>
  <c r="P8" i="383"/>
  <c r="K8" i="383"/>
  <c r="P7" i="383"/>
  <c r="K7" i="383"/>
  <c r="P6" i="383"/>
  <c r="K6" i="383"/>
  <c r="P5" i="383"/>
  <c r="K5" i="383"/>
  <c r="O16" i="382"/>
  <c r="M16" i="382"/>
  <c r="L16" i="382"/>
  <c r="F16" i="382"/>
  <c r="D16" i="382"/>
  <c r="C16" i="382"/>
  <c r="B16" i="382"/>
  <c r="I15" i="384"/>
  <c r="H15" i="384"/>
  <c r="N14" i="382"/>
  <c r="J14" i="382"/>
  <c r="J14" i="384" s="1"/>
  <c r="I14" i="382"/>
  <c r="H14" i="382"/>
  <c r="H16" i="382" s="1"/>
  <c r="G14" i="382"/>
  <c r="G14" i="384" s="1"/>
  <c r="E14" i="382"/>
  <c r="E16" i="382" s="1"/>
  <c r="P13" i="382"/>
  <c r="K13" i="382"/>
  <c r="P12" i="382"/>
  <c r="K12" i="382"/>
  <c r="P11" i="382"/>
  <c r="K11" i="382"/>
  <c r="P10" i="382"/>
  <c r="K10" i="382"/>
  <c r="P9" i="382"/>
  <c r="K9" i="382"/>
  <c r="P8" i="382"/>
  <c r="K8" i="382"/>
  <c r="P7" i="382"/>
  <c r="K7" i="382"/>
  <c r="P6" i="382"/>
  <c r="K6" i="382"/>
  <c r="P5" i="382"/>
  <c r="K5" i="382"/>
  <c r="C37" i="380"/>
  <c r="B37" i="380"/>
  <c r="C36" i="380"/>
  <c r="B36" i="380"/>
  <c r="G18" i="380"/>
  <c r="D18" i="380"/>
  <c r="C35" i="380"/>
  <c r="B35" i="380"/>
  <c r="G17" i="380"/>
  <c r="D17" i="380"/>
  <c r="C34" i="380"/>
  <c r="B34" i="380"/>
  <c r="G16" i="380"/>
  <c r="D16" i="380"/>
  <c r="C33" i="380"/>
  <c r="B33" i="380"/>
  <c r="G15" i="380"/>
  <c r="D15" i="380"/>
  <c r="C32" i="380"/>
  <c r="B32" i="380"/>
  <c r="G14" i="380"/>
  <c r="D14" i="380"/>
  <c r="C31" i="380"/>
  <c r="B31" i="380"/>
  <c r="G13" i="380"/>
  <c r="D13" i="380"/>
  <c r="C30" i="380"/>
  <c r="B30" i="380"/>
  <c r="G12" i="380"/>
  <c r="D12" i="380"/>
  <c r="C29" i="380"/>
  <c r="B29" i="380"/>
  <c r="G11" i="380"/>
  <c r="D11" i="380"/>
  <c r="C28" i="380"/>
  <c r="B28" i="380"/>
  <c r="G10" i="380"/>
  <c r="D10" i="380"/>
  <c r="C27" i="380"/>
  <c r="B27" i="380"/>
  <c r="G9" i="380"/>
  <c r="D9" i="380"/>
  <c r="C26" i="380"/>
  <c r="B26" i="380"/>
  <c r="G8" i="380"/>
  <c r="C25" i="380"/>
  <c r="B25" i="380"/>
  <c r="G7" i="380"/>
  <c r="D7" i="380"/>
  <c r="G6" i="380"/>
  <c r="D6" i="380"/>
  <c r="E34" i="380"/>
  <c r="M16" i="379"/>
  <c r="L16" i="379"/>
  <c r="G16" i="379"/>
  <c r="B16" i="379"/>
  <c r="M14" i="379"/>
  <c r="L14" i="379"/>
  <c r="G14" i="379"/>
  <c r="K14" i="379" s="1"/>
  <c r="B14" i="379"/>
  <c r="E14" i="379" s="1"/>
  <c r="M13" i="379"/>
  <c r="L13" i="379"/>
  <c r="G13" i="379"/>
  <c r="K13" i="379" s="1"/>
  <c r="B13" i="379"/>
  <c r="E13" i="379" s="1"/>
  <c r="M12" i="379"/>
  <c r="L12" i="379"/>
  <c r="G12" i="379"/>
  <c r="J12" i="379" s="1"/>
  <c r="B12" i="379"/>
  <c r="M11" i="379"/>
  <c r="L11" i="379"/>
  <c r="K11" i="379"/>
  <c r="J11" i="379"/>
  <c r="B11" i="379"/>
  <c r="F11" i="379" s="1"/>
  <c r="M10" i="379"/>
  <c r="L10" i="379"/>
  <c r="K10" i="379"/>
  <c r="J10" i="379"/>
  <c r="B10" i="379"/>
  <c r="E10" i="379" s="1"/>
  <c r="M9" i="379"/>
  <c r="L9" i="379"/>
  <c r="K9" i="379"/>
  <c r="J9" i="379"/>
  <c r="B9" i="379"/>
  <c r="E9" i="379" s="1"/>
  <c r="M8" i="379"/>
  <c r="L8" i="379"/>
  <c r="K8" i="379"/>
  <c r="J8" i="379"/>
  <c r="B8" i="379"/>
  <c r="F8" i="379" s="1"/>
  <c r="M7" i="379"/>
  <c r="L7" i="379"/>
  <c r="K7" i="379"/>
  <c r="J7" i="379"/>
  <c r="B7" i="379"/>
  <c r="M6" i="379"/>
  <c r="L6" i="379"/>
  <c r="K6" i="379"/>
  <c r="J6" i="379"/>
  <c r="B6" i="379"/>
  <c r="M5" i="379"/>
  <c r="L5" i="379"/>
  <c r="K5" i="379"/>
  <c r="J5" i="379"/>
  <c r="B5" i="379"/>
  <c r="M4" i="379"/>
  <c r="L4" i="379"/>
  <c r="K4" i="379"/>
  <c r="J4" i="379"/>
  <c r="B4" i="379"/>
  <c r="H5" i="274"/>
  <c r="B14" i="273"/>
  <c r="B14" i="272"/>
  <c r="C13" i="272" s="1"/>
  <c r="E14" i="374"/>
  <c r="E13" i="374"/>
  <c r="E12" i="374"/>
  <c r="E11" i="374"/>
  <c r="E10" i="374"/>
  <c r="E9" i="374"/>
  <c r="E8" i="374"/>
  <c r="E7" i="374"/>
  <c r="E6" i="374"/>
  <c r="E5" i="374"/>
  <c r="E4" i="374"/>
  <c r="E3" i="374"/>
  <c r="D16" i="375"/>
  <c r="D12" i="375"/>
  <c r="D11" i="375"/>
  <c r="D10" i="375"/>
  <c r="D9" i="375"/>
  <c r="D8" i="375"/>
  <c r="D7" i="375"/>
  <c r="D6" i="375"/>
  <c r="D5" i="375"/>
  <c r="D4" i="375"/>
  <c r="D16" i="407"/>
  <c r="D15" i="407"/>
  <c r="D14" i="407"/>
  <c r="D13" i="407"/>
  <c r="D12" i="407"/>
  <c r="D11" i="407"/>
  <c r="D10" i="407"/>
  <c r="D9" i="407"/>
  <c r="D8" i="407"/>
  <c r="D7" i="407"/>
  <c r="D6" i="407"/>
  <c r="D5" i="407"/>
  <c r="D4" i="407"/>
  <c r="C10" i="349"/>
  <c r="B16" i="348"/>
  <c r="B11" i="348"/>
  <c r="B10" i="348"/>
  <c r="B9" i="348"/>
  <c r="B8" i="348"/>
  <c r="B7" i="348"/>
  <c r="B6" i="348"/>
  <c r="B5" i="348"/>
  <c r="B4" i="348"/>
  <c r="B10" i="377"/>
  <c r="B9" i="377"/>
  <c r="B8" i="377"/>
  <c r="B7" i="377"/>
  <c r="B6" i="377"/>
  <c r="B5" i="377"/>
  <c r="B4" i="377"/>
  <c r="D15" i="61"/>
  <c r="D14" i="61"/>
  <c r="D13" i="61"/>
  <c r="D12" i="61"/>
  <c r="D11" i="61"/>
  <c r="D10" i="61"/>
  <c r="D9" i="61"/>
  <c r="D8" i="61"/>
  <c r="D7" i="61"/>
  <c r="D6" i="61"/>
  <c r="D5" i="61"/>
  <c r="G35" i="435"/>
  <c r="D35" i="435"/>
  <c r="G34" i="435"/>
  <c r="D34" i="435"/>
  <c r="G33" i="435"/>
  <c r="D33" i="435"/>
  <c r="G32" i="435"/>
  <c r="D32" i="435"/>
  <c r="G31" i="435"/>
  <c r="D31" i="435"/>
  <c r="G30" i="435"/>
  <c r="D30" i="435"/>
  <c r="G29" i="435"/>
  <c r="D29" i="435"/>
  <c r="G28" i="435"/>
  <c r="D28" i="435"/>
  <c r="G27" i="435"/>
  <c r="D27" i="435"/>
  <c r="E26" i="435"/>
  <c r="C26" i="435"/>
  <c r="F26" i="435" s="1"/>
  <c r="E25" i="435"/>
  <c r="C25" i="435"/>
  <c r="F25" i="435" s="1"/>
  <c r="E24" i="435"/>
  <c r="C24" i="435"/>
  <c r="F24" i="435" s="1"/>
  <c r="E23" i="435"/>
  <c r="F23" i="435" s="1"/>
  <c r="C23" i="435"/>
  <c r="E22" i="435"/>
  <c r="F22" i="435" s="1"/>
  <c r="C22" i="435"/>
  <c r="E21" i="435"/>
  <c r="F21" i="435" s="1"/>
  <c r="C21" i="435"/>
  <c r="E20" i="435"/>
  <c r="F20" i="435" s="1"/>
  <c r="C20" i="435"/>
  <c r="E19" i="435"/>
  <c r="F19" i="435" s="1"/>
  <c r="C19" i="435"/>
  <c r="E18" i="435"/>
  <c r="F18" i="435" s="1"/>
  <c r="C18" i="435"/>
  <c r="E17" i="435"/>
  <c r="F17" i="435" s="1"/>
  <c r="C17" i="435"/>
  <c r="E16" i="435"/>
  <c r="F16" i="435" s="1"/>
  <c r="C16" i="435"/>
  <c r="C15" i="435"/>
  <c r="E15" i="435" s="1"/>
  <c r="F15" i="435" s="1"/>
  <c r="C14" i="435"/>
  <c r="E14" i="435" s="1"/>
  <c r="F14" i="435" s="1"/>
  <c r="C13" i="435"/>
  <c r="E13" i="435" s="1"/>
  <c r="F13" i="435" s="1"/>
  <c r="C12" i="435"/>
  <c r="E12" i="435" s="1"/>
  <c r="F12" i="435" s="1"/>
  <c r="C11" i="435"/>
  <c r="B11" i="435"/>
  <c r="C10" i="435"/>
  <c r="E10" i="435" s="1"/>
  <c r="F10" i="435" s="1"/>
  <c r="C9" i="435"/>
  <c r="E9" i="435" s="1"/>
  <c r="F9" i="435" s="1"/>
  <c r="C8" i="435"/>
  <c r="E8" i="435" s="1"/>
  <c r="F8" i="435" s="1"/>
  <c r="C7" i="435"/>
  <c r="E7" i="435" s="1"/>
  <c r="F7" i="435" s="1"/>
  <c r="C6" i="435"/>
  <c r="E6" i="435" s="1"/>
  <c r="F6" i="435" s="1"/>
  <c r="C5" i="435"/>
  <c r="E5" i="435" s="1"/>
  <c r="F5" i="435" s="1"/>
  <c r="D16" i="345"/>
  <c r="E12" i="345"/>
  <c r="E11" i="345"/>
  <c r="D11" i="345"/>
  <c r="E10" i="345"/>
  <c r="D10" i="345"/>
  <c r="E9" i="345"/>
  <c r="D9" i="345"/>
  <c r="E8" i="345"/>
  <c r="D8" i="345"/>
  <c r="E7" i="345"/>
  <c r="D7" i="345"/>
  <c r="E6" i="345"/>
  <c r="D6" i="345"/>
  <c r="E5" i="345"/>
  <c r="D5" i="345"/>
  <c r="E4" i="345"/>
  <c r="D4" i="345"/>
  <c r="E14" i="431"/>
  <c r="D14" i="431"/>
  <c r="E13" i="431"/>
  <c r="D13" i="431"/>
  <c r="E12" i="431"/>
  <c r="D12" i="431"/>
  <c r="E11" i="431"/>
  <c r="D11" i="431"/>
  <c r="E10" i="431"/>
  <c r="D10" i="431"/>
  <c r="E9" i="431"/>
  <c r="D9" i="431"/>
  <c r="E8" i="431"/>
  <c r="D8" i="431"/>
  <c r="E7" i="431"/>
  <c r="D7" i="431"/>
  <c r="E6" i="431"/>
  <c r="D6" i="431"/>
  <c r="E5" i="431"/>
  <c r="D5" i="431"/>
  <c r="D16" i="433"/>
  <c r="E11" i="433"/>
  <c r="D11" i="433"/>
  <c r="E10" i="433"/>
  <c r="D10" i="433"/>
  <c r="E9" i="433"/>
  <c r="D9" i="433"/>
  <c r="E8" i="433"/>
  <c r="D8" i="433"/>
  <c r="E7" i="433"/>
  <c r="D7" i="433"/>
  <c r="E6" i="433"/>
  <c r="D6" i="433"/>
  <c r="E5" i="433"/>
  <c r="D5" i="433"/>
  <c r="E4" i="433"/>
  <c r="D4" i="433"/>
  <c r="G14" i="342"/>
  <c r="D14" i="342"/>
  <c r="B15" i="61" s="1"/>
  <c r="G13" i="342"/>
  <c r="D13" i="342"/>
  <c r="G12" i="342"/>
  <c r="D12" i="342"/>
  <c r="G11" i="342"/>
  <c r="D11" i="342"/>
  <c r="B12" i="61" s="1"/>
  <c r="G10" i="342"/>
  <c r="D10" i="342"/>
  <c r="F10" i="342" s="1"/>
  <c r="G9" i="342"/>
  <c r="D9" i="342"/>
  <c r="C11" i="287" s="1"/>
  <c r="E11" i="287" s="1"/>
  <c r="P11" i="287" s="1"/>
  <c r="G8" i="342"/>
  <c r="D8" i="342"/>
  <c r="E8" i="342" s="1"/>
  <c r="G7" i="342"/>
  <c r="D7" i="342"/>
  <c r="G6" i="342"/>
  <c r="D6" i="342"/>
  <c r="C8" i="287" s="1"/>
  <c r="E8" i="287" s="1"/>
  <c r="G5" i="342"/>
  <c r="D5" i="342"/>
  <c r="B6" i="61" s="1"/>
  <c r="G4" i="342"/>
  <c r="D4" i="342"/>
  <c r="I35" i="434"/>
  <c r="E35" i="434"/>
  <c r="I34" i="434"/>
  <c r="E34" i="434"/>
  <c r="I33" i="434"/>
  <c r="E33" i="434"/>
  <c r="I32" i="434"/>
  <c r="E32" i="434"/>
  <c r="I31" i="434"/>
  <c r="E31" i="434"/>
  <c r="I30" i="434"/>
  <c r="E30" i="434"/>
  <c r="I29" i="434"/>
  <c r="E29" i="434"/>
  <c r="I28" i="434"/>
  <c r="E28" i="434"/>
  <c r="I27" i="434"/>
  <c r="E27" i="434"/>
  <c r="F16" i="341"/>
  <c r="C16" i="341"/>
  <c r="G16" i="341" s="1"/>
  <c r="F12" i="341"/>
  <c r="C12" i="341"/>
  <c r="G12" i="341" s="1"/>
  <c r="F11" i="341"/>
  <c r="C11" i="341"/>
  <c r="G11" i="341" s="1"/>
  <c r="F10" i="341"/>
  <c r="C10" i="341"/>
  <c r="G10" i="341" s="1"/>
  <c r="F9" i="341"/>
  <c r="C9" i="341"/>
  <c r="G9" i="341" s="1"/>
  <c r="F8" i="341"/>
  <c r="C8" i="341"/>
  <c r="G8" i="341" s="1"/>
  <c r="F7" i="341"/>
  <c r="C7" i="341"/>
  <c r="G7" i="341" s="1"/>
  <c r="F6" i="341"/>
  <c r="C6" i="341"/>
  <c r="G6" i="341" s="1"/>
  <c r="F5" i="341"/>
  <c r="C5" i="341"/>
  <c r="G5" i="341" s="1"/>
  <c r="F4" i="341"/>
  <c r="C4" i="341"/>
  <c r="G4" i="341" s="1"/>
  <c r="C12" i="338"/>
  <c r="G12" i="338" s="1"/>
  <c r="F11" i="338"/>
  <c r="C11" i="338"/>
  <c r="G11" i="338" s="1"/>
  <c r="F10" i="338"/>
  <c r="C10" i="338"/>
  <c r="G10" i="338" s="1"/>
  <c r="F9" i="338"/>
  <c r="C9" i="338"/>
  <c r="G9" i="338" s="1"/>
  <c r="F8" i="338"/>
  <c r="C8" i="338"/>
  <c r="G8" i="338" s="1"/>
  <c r="F7" i="338"/>
  <c r="C7" i="338"/>
  <c r="G7" i="338" s="1"/>
  <c r="F6" i="338"/>
  <c r="C6" i="338"/>
  <c r="G6" i="338" s="1"/>
  <c r="F5" i="338"/>
  <c r="C5" i="338"/>
  <c r="G5" i="338" s="1"/>
  <c r="F4" i="338"/>
  <c r="C4" i="338"/>
  <c r="G4" i="338" s="1"/>
  <c r="G16" i="432"/>
  <c r="C12" i="432"/>
  <c r="C11" i="432"/>
  <c r="G11" i="432" s="1"/>
  <c r="C10" i="432"/>
  <c r="F9" i="432"/>
  <c r="C9" i="432"/>
  <c r="G9" i="432" s="1"/>
  <c r="F8" i="432"/>
  <c r="C8" i="432"/>
  <c r="G8" i="432" s="1"/>
  <c r="F7" i="432"/>
  <c r="C7" i="432"/>
  <c r="G7" i="432" s="1"/>
  <c r="F6" i="432"/>
  <c r="C6" i="432"/>
  <c r="G6" i="432" s="1"/>
  <c r="F5" i="432"/>
  <c r="C5" i="432"/>
  <c r="G5" i="432" s="1"/>
  <c r="F4" i="432"/>
  <c r="C4" i="432"/>
  <c r="G4" i="432" s="1"/>
  <c r="F11" i="402"/>
  <c r="C11" i="402"/>
  <c r="I11" i="402" s="1"/>
  <c r="F10" i="402"/>
  <c r="G10" i="402" s="1"/>
  <c r="C10" i="402"/>
  <c r="F9" i="402"/>
  <c r="C9" i="402"/>
  <c r="I9" i="402" s="1"/>
  <c r="F8" i="402"/>
  <c r="G8" i="402" s="1"/>
  <c r="C8" i="402"/>
  <c r="F7" i="402"/>
  <c r="G7" i="402" s="1"/>
  <c r="C7" i="402"/>
  <c r="I7" i="402" s="1"/>
  <c r="F6" i="402"/>
  <c r="G6" i="402" s="1"/>
  <c r="C6" i="402"/>
  <c r="F5" i="402"/>
  <c r="C5" i="402"/>
  <c r="I5" i="402" s="1"/>
  <c r="F4" i="402"/>
  <c r="G4" i="402" s="1"/>
  <c r="C4" i="402"/>
  <c r="F3" i="402"/>
  <c r="G3" i="402" s="1"/>
  <c r="C3" i="402"/>
  <c r="D16" i="334"/>
  <c r="D15" i="334"/>
  <c r="D14" i="334"/>
  <c r="D13" i="334"/>
  <c r="D12" i="334"/>
  <c r="D11" i="334"/>
  <c r="D10" i="334"/>
  <c r="D9" i="334"/>
  <c r="C17" i="334"/>
  <c r="D17" i="334" s="1"/>
  <c r="D8" i="334"/>
  <c r="D7" i="334"/>
  <c r="D6" i="334"/>
  <c r="D5" i="334"/>
  <c r="G14" i="427"/>
  <c r="H14" i="427" s="1"/>
  <c r="G13" i="427"/>
  <c r="F13" i="427"/>
  <c r="G12" i="427"/>
  <c r="F12" i="427"/>
  <c r="G11" i="427"/>
  <c r="F11" i="427"/>
  <c r="G10" i="427"/>
  <c r="F10" i="427"/>
  <c r="G9" i="427"/>
  <c r="F9" i="427"/>
  <c r="G8" i="427"/>
  <c r="F8" i="427"/>
  <c r="G7" i="427"/>
  <c r="F7" i="427"/>
  <c r="F14" i="332"/>
  <c r="E13" i="332"/>
  <c r="G13" i="332" s="1"/>
  <c r="E12" i="332"/>
  <c r="F12" i="332" s="1"/>
  <c r="E11" i="332"/>
  <c r="E10" i="332"/>
  <c r="E9" i="332"/>
  <c r="F9" i="332" s="1"/>
  <c r="E8" i="332"/>
  <c r="H8" i="332" s="1"/>
  <c r="E7" i="332"/>
  <c r="E6" i="332"/>
  <c r="P6" i="332" s="1"/>
  <c r="E5" i="332"/>
  <c r="G5" i="332" s="1"/>
  <c r="E4" i="332"/>
  <c r="G4" i="332" s="1"/>
  <c r="E16" i="287"/>
  <c r="B16" i="333" s="1"/>
  <c r="E5" i="287"/>
  <c r="E4" i="287"/>
  <c r="C5" i="333"/>
  <c r="D5" i="333" s="1"/>
  <c r="C4" i="333"/>
  <c r="D4" i="333" s="1"/>
  <c r="E20" i="426"/>
  <c r="B20" i="426"/>
  <c r="H19" i="426"/>
  <c r="G19" i="426" s="1"/>
  <c r="H18" i="426"/>
  <c r="G18" i="426" s="1"/>
  <c r="H17" i="426"/>
  <c r="G17" i="426" s="1"/>
  <c r="H16" i="426"/>
  <c r="G16" i="426" s="1"/>
  <c r="H15" i="426"/>
  <c r="H14" i="426"/>
  <c r="G14" i="426" s="1"/>
  <c r="H13" i="426"/>
  <c r="D13" i="426" s="1"/>
  <c r="H12" i="426"/>
  <c r="G12" i="426" s="1"/>
  <c r="H11" i="426"/>
  <c r="G11" i="426" s="1"/>
  <c r="H10" i="426"/>
  <c r="G10" i="426" s="1"/>
  <c r="H9" i="426"/>
  <c r="G9" i="426" s="1"/>
  <c r="H8" i="426"/>
  <c r="G8" i="426" s="1"/>
  <c r="H7" i="426"/>
  <c r="H6" i="426"/>
  <c r="G6" i="426" s="1"/>
  <c r="H5" i="426"/>
  <c r="G5" i="426" s="1"/>
  <c r="F14" i="336"/>
  <c r="E14" i="336"/>
  <c r="C14" i="336"/>
  <c r="B14" i="336"/>
  <c r="D11" i="336" s="1"/>
  <c r="I11" i="335"/>
  <c r="E11" i="335"/>
  <c r="I10" i="335"/>
  <c r="E10" i="335"/>
  <c r="I9" i="335"/>
  <c r="E9" i="335"/>
  <c r="I8" i="335"/>
  <c r="E8" i="335"/>
  <c r="I7" i="335"/>
  <c r="E7" i="335"/>
  <c r="I6" i="335"/>
  <c r="E6" i="335"/>
  <c r="I5" i="335"/>
  <c r="E5" i="335"/>
  <c r="I4" i="335"/>
  <c r="E4" i="335"/>
  <c r="H7" i="427" l="1"/>
  <c r="H11" i="427"/>
  <c r="H8" i="427"/>
  <c r="H12" i="427"/>
  <c r="I12" i="427" s="1"/>
  <c r="H9" i="427"/>
  <c r="I9" i="427" s="1"/>
  <c r="H13" i="427"/>
  <c r="J13" i="427" s="1"/>
  <c r="D12" i="389"/>
  <c r="C13" i="389"/>
  <c r="D13" i="389" s="1"/>
  <c r="H10" i="427"/>
  <c r="D6" i="389"/>
  <c r="D4" i="389"/>
  <c r="E10" i="389"/>
  <c r="D8" i="389"/>
  <c r="D16" i="74"/>
  <c r="C5" i="79"/>
  <c r="H18" i="79"/>
  <c r="C18" i="79" s="1"/>
  <c r="E8" i="389"/>
  <c r="E9" i="389"/>
  <c r="D9" i="389"/>
  <c r="E4" i="389"/>
  <c r="D7" i="389"/>
  <c r="G11" i="402"/>
  <c r="E13" i="223"/>
  <c r="U10" i="227"/>
  <c r="H8" i="402"/>
  <c r="Q10" i="383"/>
  <c r="H28" i="435"/>
  <c r="O12" i="29"/>
  <c r="C5" i="230"/>
  <c r="D5" i="230" s="1"/>
  <c r="C4" i="230"/>
  <c r="D4" i="230" s="1"/>
  <c r="J9" i="335"/>
  <c r="E6" i="61"/>
  <c r="D19" i="426"/>
  <c r="B17" i="276"/>
  <c r="C13" i="287"/>
  <c r="E13" i="287" s="1"/>
  <c r="H13" i="287" s="1"/>
  <c r="I7" i="427"/>
  <c r="G8" i="282"/>
  <c r="J13" i="223"/>
  <c r="F11" i="342"/>
  <c r="H20" i="426"/>
  <c r="I8" i="426" s="1"/>
  <c r="Q13" i="382"/>
  <c r="E31" i="380"/>
  <c r="M10" i="226"/>
  <c r="I7" i="232"/>
  <c r="M7" i="242"/>
  <c r="I5" i="241"/>
  <c r="L7" i="242"/>
  <c r="C7" i="287"/>
  <c r="E7" i="287" s="1"/>
  <c r="B7" i="333" s="1"/>
  <c r="D7" i="333" s="1"/>
  <c r="N10" i="226"/>
  <c r="K7" i="232"/>
  <c r="I7" i="242"/>
  <c r="O12" i="217"/>
  <c r="AX20" i="386"/>
  <c r="I4" i="231"/>
  <c r="N7" i="232"/>
  <c r="J7" i="242"/>
  <c r="E11" i="342"/>
  <c r="Q12" i="382"/>
  <c r="E7" i="223"/>
  <c r="E6" i="215"/>
  <c r="E8" i="229"/>
  <c r="E4" i="239"/>
  <c r="H33" i="435"/>
  <c r="J14" i="379"/>
  <c r="F9" i="215"/>
  <c r="O11" i="217"/>
  <c r="K7" i="228"/>
  <c r="J12" i="228"/>
  <c r="F4" i="223"/>
  <c r="F8" i="223"/>
  <c r="H4" i="227"/>
  <c r="J35" i="434"/>
  <c r="F13" i="215"/>
  <c r="K12" i="379"/>
  <c r="E7" i="215"/>
  <c r="F10" i="219"/>
  <c r="F5" i="342"/>
  <c r="L12" i="226"/>
  <c r="F16" i="287"/>
  <c r="E9" i="215"/>
  <c r="S5" i="217"/>
  <c r="P11" i="217"/>
  <c r="G6" i="222"/>
  <c r="L7" i="228"/>
  <c r="E10" i="225"/>
  <c r="F12" i="215"/>
  <c r="F9" i="379"/>
  <c r="I8" i="402"/>
  <c r="E12" i="224"/>
  <c r="P14" i="383"/>
  <c r="Q14" i="383" s="1"/>
  <c r="F13" i="379"/>
  <c r="Q5" i="383"/>
  <c r="Q9" i="383"/>
  <c r="Q13" i="383"/>
  <c r="B8" i="396"/>
  <c r="H5" i="282"/>
  <c r="Q11" i="217"/>
  <c r="G13" i="219"/>
  <c r="L4" i="226"/>
  <c r="L10" i="226"/>
  <c r="E5" i="342"/>
  <c r="Q11" i="383"/>
  <c r="G5" i="222"/>
  <c r="Q10" i="382"/>
  <c r="D15" i="215"/>
  <c r="H13" i="219"/>
  <c r="F10" i="224"/>
  <c r="G4" i="231"/>
  <c r="N5" i="233"/>
  <c r="N11" i="226"/>
  <c r="K8" i="226"/>
  <c r="N6" i="226"/>
  <c r="N7" i="226"/>
  <c r="K6" i="226"/>
  <c r="M6" i="226"/>
  <c r="J33" i="434"/>
  <c r="M5" i="217"/>
  <c r="Q12" i="217"/>
  <c r="N5" i="217"/>
  <c r="O5" i="217"/>
  <c r="E13" i="79"/>
  <c r="E5" i="79"/>
  <c r="G5" i="79"/>
  <c r="R4" i="217"/>
  <c r="P4" i="217"/>
  <c r="K9" i="226"/>
  <c r="M9" i="226"/>
  <c r="L9" i="226"/>
  <c r="H6" i="228"/>
  <c r="L6" i="228"/>
  <c r="J6" i="228"/>
  <c r="I6" i="228"/>
  <c r="F9" i="223"/>
  <c r="E9" i="223"/>
  <c r="C6" i="287"/>
  <c r="E6" i="287" s="1"/>
  <c r="G6" i="287" s="1"/>
  <c r="B5" i="61"/>
  <c r="E5" i="61" s="1"/>
  <c r="B8" i="61"/>
  <c r="E8" i="61" s="1"/>
  <c r="F7" i="342"/>
  <c r="C9" i="287"/>
  <c r="E9" i="287" s="1"/>
  <c r="P9" i="287" s="1"/>
  <c r="C12" i="273"/>
  <c r="C13" i="273"/>
  <c r="F8" i="222"/>
  <c r="G8" i="222"/>
  <c r="C15" i="224"/>
  <c r="I9" i="226"/>
  <c r="K6" i="228"/>
  <c r="H9" i="227"/>
  <c r="D10" i="240"/>
  <c r="F10" i="240" s="1"/>
  <c r="G9" i="332"/>
  <c r="E7" i="342"/>
  <c r="E13" i="78"/>
  <c r="C13" i="78"/>
  <c r="P7" i="217"/>
  <c r="T7" i="217"/>
  <c r="N7" i="217"/>
  <c r="N9" i="226"/>
  <c r="E5" i="225"/>
  <c r="J31" i="434"/>
  <c r="E12" i="379"/>
  <c r="F12" i="379"/>
  <c r="F11" i="224"/>
  <c r="E11" i="224"/>
  <c r="K7" i="226"/>
  <c r="M7" i="226"/>
  <c r="I7" i="226"/>
  <c r="L7" i="226"/>
  <c r="E4" i="229"/>
  <c r="F4" i="229"/>
  <c r="I5" i="214"/>
  <c r="H5" i="214"/>
  <c r="G12" i="432"/>
  <c r="F12" i="432"/>
  <c r="K5" i="226"/>
  <c r="M5" i="226"/>
  <c r="L5" i="226"/>
  <c r="J13" i="226"/>
  <c r="N13" i="226"/>
  <c r="L13" i="226"/>
  <c r="K13" i="226"/>
  <c r="H5" i="227"/>
  <c r="U5" i="227"/>
  <c r="I10" i="402"/>
  <c r="H10" i="402"/>
  <c r="I5" i="226"/>
  <c r="I13" i="226"/>
  <c r="F10" i="432"/>
  <c r="G10" i="432"/>
  <c r="M14" i="384"/>
  <c r="M16" i="384" s="1"/>
  <c r="F8" i="215"/>
  <c r="E8" i="215"/>
  <c r="T9" i="217"/>
  <c r="O9" i="217"/>
  <c r="N5" i="226"/>
  <c r="M13" i="226"/>
  <c r="E6" i="229"/>
  <c r="K9" i="232"/>
  <c r="L9" i="232"/>
  <c r="I9" i="232"/>
  <c r="G7" i="426"/>
  <c r="D7" i="426"/>
  <c r="P5" i="332"/>
  <c r="C12" i="287"/>
  <c r="E35" i="380"/>
  <c r="E36" i="380"/>
  <c r="E26" i="380"/>
  <c r="E27" i="380"/>
  <c r="E30" i="380"/>
  <c r="K11" i="226"/>
  <c r="M11" i="226"/>
  <c r="I11" i="226"/>
  <c r="L11" i="226"/>
  <c r="H10" i="228"/>
  <c r="K10" i="228"/>
  <c r="I10" i="228"/>
  <c r="J10" i="228"/>
  <c r="D4" i="399"/>
  <c r="C4" i="399" s="1"/>
  <c r="J28" i="434"/>
  <c r="H31" i="435"/>
  <c r="Q5" i="382"/>
  <c r="G37" i="446"/>
  <c r="G12" i="282"/>
  <c r="Q5" i="217"/>
  <c r="R11" i="217"/>
  <c r="F7" i="222"/>
  <c r="I4" i="226"/>
  <c r="I8" i="226"/>
  <c r="I12" i="226"/>
  <c r="H12" i="228"/>
  <c r="I12" i="223"/>
  <c r="D9" i="225"/>
  <c r="F9" i="225" s="1"/>
  <c r="P6" i="384"/>
  <c r="K20" i="217"/>
  <c r="M12" i="226"/>
  <c r="J13" i="379"/>
  <c r="E14" i="384"/>
  <c r="G13" i="79"/>
  <c r="H8" i="396"/>
  <c r="G9" i="282"/>
  <c r="G15" i="282"/>
  <c r="M8" i="217"/>
  <c r="M12" i="217"/>
  <c r="E13" i="224"/>
  <c r="N4" i="226"/>
  <c r="N8" i="226"/>
  <c r="N12" i="226"/>
  <c r="E15" i="226"/>
  <c r="J8" i="232"/>
  <c r="K8" i="384"/>
  <c r="M4" i="226"/>
  <c r="M8" i="226"/>
  <c r="K12" i="228"/>
  <c r="H12" i="332"/>
  <c r="E11" i="379"/>
  <c r="Q11" i="382"/>
  <c r="G5" i="282"/>
  <c r="F6" i="215"/>
  <c r="N12" i="217"/>
  <c r="F7" i="219"/>
  <c r="E4" i="224"/>
  <c r="I6" i="226"/>
  <c r="I10" i="226"/>
  <c r="H7" i="228"/>
  <c r="L13" i="228"/>
  <c r="F9" i="229"/>
  <c r="I5" i="233"/>
  <c r="K10" i="242"/>
  <c r="L10" i="242"/>
  <c r="I10" i="242"/>
  <c r="M10" i="242"/>
  <c r="G13" i="426"/>
  <c r="F11" i="432"/>
  <c r="F9" i="222"/>
  <c r="G9" i="222"/>
  <c r="J10" i="242"/>
  <c r="I3" i="402"/>
  <c r="H3" i="402"/>
  <c r="F10" i="222"/>
  <c r="G10" i="222"/>
  <c r="G15" i="426"/>
  <c r="D15" i="426"/>
  <c r="H5" i="219"/>
  <c r="F5" i="219"/>
  <c r="P11" i="332"/>
  <c r="H11" i="332"/>
  <c r="G11" i="332"/>
  <c r="E4" i="379"/>
  <c r="F4" i="379"/>
  <c r="E16" i="379"/>
  <c r="F16" i="379"/>
  <c r="G9" i="79"/>
  <c r="E9" i="79"/>
  <c r="C9" i="79"/>
  <c r="P4" i="287"/>
  <c r="G4" i="287"/>
  <c r="F11" i="332"/>
  <c r="H5" i="402"/>
  <c r="J30" i="434"/>
  <c r="F10" i="379"/>
  <c r="F4" i="240"/>
  <c r="E4" i="240"/>
  <c r="J10" i="335"/>
  <c r="I6" i="402"/>
  <c r="H6" i="402"/>
  <c r="H4" i="219"/>
  <c r="F4" i="219"/>
  <c r="H9" i="219"/>
  <c r="F9" i="219"/>
  <c r="C6" i="78"/>
  <c r="J7" i="223"/>
  <c r="I7" i="223"/>
  <c r="J7" i="231"/>
  <c r="G7" i="231"/>
  <c r="E8" i="239"/>
  <c r="F8" i="239"/>
  <c r="K8" i="242"/>
  <c r="J8" i="242"/>
  <c r="I8" i="242"/>
  <c r="D11" i="426"/>
  <c r="C10" i="287"/>
  <c r="E10" i="287" s="1"/>
  <c r="G10" i="287" s="1"/>
  <c r="F14" i="379"/>
  <c r="J16" i="382"/>
  <c r="C16" i="384"/>
  <c r="P8" i="384"/>
  <c r="P13" i="384"/>
  <c r="G11" i="79"/>
  <c r="E11" i="79"/>
  <c r="H14" i="282"/>
  <c r="F7" i="215"/>
  <c r="K25" i="217"/>
  <c r="E11" i="223"/>
  <c r="F11" i="223"/>
  <c r="F13" i="223"/>
  <c r="H7" i="231"/>
  <c r="E7" i="240"/>
  <c r="F7" i="240"/>
  <c r="H9" i="214"/>
  <c r="J9" i="214"/>
  <c r="G9" i="214"/>
  <c r="F11" i="241"/>
  <c r="H11" i="241" s="1"/>
  <c r="L8" i="242"/>
  <c r="E6" i="79"/>
  <c r="C6" i="79"/>
  <c r="H16" i="282"/>
  <c r="G16" i="282"/>
  <c r="H8" i="241"/>
  <c r="I8" i="241"/>
  <c r="G8" i="241"/>
  <c r="K6" i="242"/>
  <c r="L6" i="242"/>
  <c r="I6" i="242"/>
  <c r="D5" i="426"/>
  <c r="D17" i="426"/>
  <c r="K8" i="444"/>
  <c r="K17" i="444" s="1"/>
  <c r="D17" i="444"/>
  <c r="E15" i="78"/>
  <c r="G15" i="78"/>
  <c r="G7" i="79"/>
  <c r="C7" i="79"/>
  <c r="G17" i="282"/>
  <c r="E8" i="225"/>
  <c r="F8" i="225"/>
  <c r="I9" i="214"/>
  <c r="I9" i="241"/>
  <c r="J9" i="241"/>
  <c r="G9" i="241"/>
  <c r="K4" i="242"/>
  <c r="J4" i="242"/>
  <c r="I4" i="242"/>
  <c r="H11" i="242"/>
  <c r="L11" i="242" s="1"/>
  <c r="M6" i="242"/>
  <c r="M8" i="242"/>
  <c r="J11" i="228"/>
  <c r="L11" i="228"/>
  <c r="H11" i="228"/>
  <c r="D9" i="426"/>
  <c r="H9" i="332"/>
  <c r="F4" i="342"/>
  <c r="E4" i="342"/>
  <c r="H29" i="435"/>
  <c r="Q6" i="382"/>
  <c r="C18" i="282"/>
  <c r="G11" i="282"/>
  <c r="H11" i="282"/>
  <c r="E8" i="224"/>
  <c r="F8" i="224"/>
  <c r="G11" i="227"/>
  <c r="G15" i="226"/>
  <c r="K11" i="228"/>
  <c r="U6" i="227"/>
  <c r="H6" i="227"/>
  <c r="H8" i="227"/>
  <c r="U8" i="227"/>
  <c r="J9" i="231"/>
  <c r="E9" i="240"/>
  <c r="M4" i="242"/>
  <c r="P9" i="384"/>
  <c r="O13" i="217"/>
  <c r="L13" i="217"/>
  <c r="T13" i="217"/>
  <c r="K9" i="228"/>
  <c r="J9" i="228"/>
  <c r="H9" i="228"/>
  <c r="K6" i="232"/>
  <c r="M6" i="232"/>
  <c r="L6" i="232"/>
  <c r="I6" i="232"/>
  <c r="K8" i="233"/>
  <c r="J8" i="233"/>
  <c r="I8" i="233"/>
  <c r="K9" i="242"/>
  <c r="M9" i="242"/>
  <c r="L9" i="242"/>
  <c r="I9" i="242"/>
  <c r="P9" i="332"/>
  <c r="G12" i="332"/>
  <c r="J32" i="434"/>
  <c r="J34" i="434"/>
  <c r="E7" i="379"/>
  <c r="F7" i="379"/>
  <c r="C4" i="179"/>
  <c r="E8" i="78"/>
  <c r="C8" i="78"/>
  <c r="E5" i="215"/>
  <c r="F5" i="215"/>
  <c r="S10" i="217"/>
  <c r="M10" i="217"/>
  <c r="S13" i="217"/>
  <c r="E9" i="224"/>
  <c r="F9" i="224"/>
  <c r="L9" i="228"/>
  <c r="M8" i="232"/>
  <c r="L8" i="232"/>
  <c r="K8" i="232"/>
  <c r="I8" i="232"/>
  <c r="M8" i="233"/>
  <c r="F5" i="239"/>
  <c r="E5" i="239"/>
  <c r="K5" i="242"/>
  <c r="M5" i="242"/>
  <c r="L5" i="242"/>
  <c r="I5" i="242"/>
  <c r="Q9" i="382"/>
  <c r="Q7" i="383"/>
  <c r="D5" i="399"/>
  <c r="C5" i="399" s="1"/>
  <c r="E11" i="435"/>
  <c r="F11" i="435" s="1"/>
  <c r="J16" i="379"/>
  <c r="Q12" i="383"/>
  <c r="K12" i="384"/>
  <c r="P12" i="384"/>
  <c r="R5" i="217"/>
  <c r="N9" i="217"/>
  <c r="T11" i="217"/>
  <c r="G10" i="219"/>
  <c r="F6" i="229"/>
  <c r="J7" i="232"/>
  <c r="J9" i="232"/>
  <c r="F10" i="239"/>
  <c r="Q7" i="382"/>
  <c r="P7" i="384"/>
  <c r="O16" i="384"/>
  <c r="G8" i="79"/>
  <c r="I6" i="396"/>
  <c r="P9" i="217"/>
  <c r="K24" i="217"/>
  <c r="J4" i="226"/>
  <c r="J5" i="226"/>
  <c r="J6" i="226"/>
  <c r="J7" i="226"/>
  <c r="J8" i="226"/>
  <c r="J9" i="226"/>
  <c r="J10" i="226"/>
  <c r="J11" i="226"/>
  <c r="J12" i="226"/>
  <c r="L7" i="232"/>
  <c r="M9" i="232"/>
  <c r="J5" i="233"/>
  <c r="E12" i="61"/>
  <c r="E28" i="380"/>
  <c r="D17" i="400"/>
  <c r="L5" i="217"/>
  <c r="R9" i="217"/>
  <c r="L11" i="217"/>
  <c r="L12" i="217"/>
  <c r="S11" i="227"/>
  <c r="L5" i="233"/>
  <c r="C5" i="179"/>
  <c r="C6" i="179"/>
  <c r="E16" i="445"/>
  <c r="E14" i="386"/>
  <c r="G15" i="386"/>
  <c r="K16" i="379"/>
  <c r="I5" i="274"/>
  <c r="B5" i="274"/>
  <c r="C5" i="274"/>
  <c r="G5" i="274"/>
  <c r="F5" i="274"/>
  <c r="C8" i="273"/>
  <c r="C9" i="273"/>
  <c r="C10" i="273"/>
  <c r="C6" i="273"/>
  <c r="C11" i="273"/>
  <c r="C5" i="273"/>
  <c r="C7" i="273"/>
  <c r="C5" i="272"/>
  <c r="C11" i="272"/>
  <c r="C6" i="272"/>
  <c r="C7" i="272"/>
  <c r="C12" i="272"/>
  <c r="C9" i="272"/>
  <c r="C8" i="272"/>
  <c r="C4" i="272"/>
  <c r="C10" i="272"/>
  <c r="B8" i="333"/>
  <c r="D8" i="333" s="1"/>
  <c r="P8" i="287"/>
  <c r="F8" i="287"/>
  <c r="G8" i="287"/>
  <c r="G7" i="332"/>
  <c r="F7" i="332"/>
  <c r="H9" i="402"/>
  <c r="G9" i="402"/>
  <c r="F11" i="287"/>
  <c r="G5" i="402"/>
  <c r="F8" i="332"/>
  <c r="C18" i="334"/>
  <c r="H13" i="282"/>
  <c r="G13" i="282"/>
  <c r="J29" i="434"/>
  <c r="K15" i="382"/>
  <c r="G15" i="384"/>
  <c r="G16" i="384" s="1"/>
  <c r="G16" i="382"/>
  <c r="C11" i="227"/>
  <c r="C15" i="226"/>
  <c r="H14" i="226"/>
  <c r="J14" i="226" s="1"/>
  <c r="P10" i="332"/>
  <c r="H10" i="332"/>
  <c r="F10" i="332"/>
  <c r="F12" i="342"/>
  <c r="B13" i="61"/>
  <c r="E13" i="61" s="1"/>
  <c r="E12" i="342"/>
  <c r="H32" i="435"/>
  <c r="Q6" i="383"/>
  <c r="E6" i="386"/>
  <c r="B18" i="386"/>
  <c r="B14" i="389" s="1"/>
  <c r="G6" i="386"/>
  <c r="E14" i="215"/>
  <c r="C10" i="230"/>
  <c r="D10" i="230" s="1"/>
  <c r="F14" i="215"/>
  <c r="G10" i="332"/>
  <c r="J7" i="335"/>
  <c r="C14" i="287"/>
  <c r="E14" i="287" s="1"/>
  <c r="G8" i="332"/>
  <c r="I4" i="402"/>
  <c r="H4" i="402"/>
  <c r="C15" i="287"/>
  <c r="E15" i="287" s="1"/>
  <c r="H15" i="287" s="1"/>
  <c r="E13" i="342"/>
  <c r="B14" i="61"/>
  <c r="E14" i="61" s="1"/>
  <c r="F13" i="342"/>
  <c r="H27" i="435"/>
  <c r="K9" i="384"/>
  <c r="E12" i="79"/>
  <c r="C12" i="79"/>
  <c r="G12" i="79"/>
  <c r="I7" i="397"/>
  <c r="B12" i="227"/>
  <c r="H6" i="231"/>
  <c r="J6" i="231"/>
  <c r="G6" i="231"/>
  <c r="B11" i="333"/>
  <c r="D11" i="333" s="1"/>
  <c r="H11" i="287"/>
  <c r="P7" i="332"/>
  <c r="G14" i="332"/>
  <c r="H7" i="402"/>
  <c r="G7" i="336"/>
  <c r="G8" i="336"/>
  <c r="G11" i="287"/>
  <c r="P4" i="332"/>
  <c r="J4" i="335"/>
  <c r="E7" i="225"/>
  <c r="F7" i="225"/>
  <c r="D15" i="217"/>
  <c r="G12" i="219"/>
  <c r="F12" i="219"/>
  <c r="H12" i="219"/>
  <c r="J6" i="335"/>
  <c r="H14" i="332"/>
  <c r="P8" i="332"/>
  <c r="H13" i="332"/>
  <c r="F13" i="332"/>
  <c r="E12" i="227"/>
  <c r="S10" i="227"/>
  <c r="H10" i="227"/>
  <c r="J8" i="335"/>
  <c r="P5" i="287"/>
  <c r="G5" i="287"/>
  <c r="F6" i="332"/>
  <c r="G6" i="332"/>
  <c r="E7" i="386"/>
  <c r="G7" i="386"/>
  <c r="E10" i="386"/>
  <c r="G13" i="386"/>
  <c r="F6" i="342"/>
  <c r="E6" i="342"/>
  <c r="H30" i="435"/>
  <c r="G12" i="386"/>
  <c r="E12" i="386"/>
  <c r="G14" i="78"/>
  <c r="C14" i="78"/>
  <c r="E14" i="78"/>
  <c r="C10" i="79"/>
  <c r="G10" i="282"/>
  <c r="H10" i="282"/>
  <c r="C6" i="230"/>
  <c r="F10" i="215"/>
  <c r="L4" i="228"/>
  <c r="K4" i="228"/>
  <c r="I4" i="228"/>
  <c r="J4" i="228"/>
  <c r="I11" i="223"/>
  <c r="J11" i="223"/>
  <c r="H7" i="227"/>
  <c r="U7" i="227"/>
  <c r="H7" i="241"/>
  <c r="I7" i="241"/>
  <c r="G7" i="241"/>
  <c r="J7" i="241"/>
  <c r="J5" i="335"/>
  <c r="J27" i="434"/>
  <c r="Q8" i="382"/>
  <c r="I16" i="382"/>
  <c r="I14" i="384"/>
  <c r="I16" i="384" s="1"/>
  <c r="P15" i="382"/>
  <c r="N15" i="384"/>
  <c r="P15" i="384" s="1"/>
  <c r="D16" i="384"/>
  <c r="P5" i="384"/>
  <c r="K11" i="384"/>
  <c r="G3" i="386"/>
  <c r="E3" i="386"/>
  <c r="E11" i="78"/>
  <c r="G11" i="78"/>
  <c r="C11" i="78"/>
  <c r="C15" i="78"/>
  <c r="C8" i="79"/>
  <c r="G10" i="79"/>
  <c r="G7" i="282"/>
  <c r="H7" i="282"/>
  <c r="E10" i="215"/>
  <c r="G15" i="217"/>
  <c r="H4" i="228"/>
  <c r="B7" i="61"/>
  <c r="E7" i="61" s="1"/>
  <c r="B11" i="61"/>
  <c r="E11" i="61" s="1"/>
  <c r="E8" i="379"/>
  <c r="N14" i="384"/>
  <c r="N16" i="382"/>
  <c r="P14" i="382"/>
  <c r="F16" i="384"/>
  <c r="K7" i="384"/>
  <c r="F7" i="224"/>
  <c r="E7" i="224"/>
  <c r="P11" i="384"/>
  <c r="C15" i="219"/>
  <c r="C14" i="223"/>
  <c r="K14" i="223" s="1"/>
  <c r="C15" i="222"/>
  <c r="D14" i="224"/>
  <c r="B11" i="225"/>
  <c r="B12" i="225" s="1"/>
  <c r="B15" i="224"/>
  <c r="K5" i="228"/>
  <c r="L5" i="228"/>
  <c r="H5" i="228"/>
  <c r="J5" i="228"/>
  <c r="E10" i="342"/>
  <c r="K6" i="384"/>
  <c r="J16" i="384"/>
  <c r="K10" i="384"/>
  <c r="B15" i="217"/>
  <c r="K14" i="217"/>
  <c r="O14" i="217" s="1"/>
  <c r="B9" i="61"/>
  <c r="E9" i="61" s="1"/>
  <c r="F8" i="342"/>
  <c r="F6" i="379"/>
  <c r="E6" i="379"/>
  <c r="G16" i="383"/>
  <c r="K15" i="383"/>
  <c r="Q15" i="383" s="1"/>
  <c r="H14" i="384"/>
  <c r="H16" i="384" s="1"/>
  <c r="G4" i="386"/>
  <c r="E4" i="386"/>
  <c r="E8" i="386"/>
  <c r="G12" i="78"/>
  <c r="E15" i="79"/>
  <c r="G15" i="79"/>
  <c r="C15" i="79"/>
  <c r="F11" i="215"/>
  <c r="E11" i="215"/>
  <c r="Q10" i="217"/>
  <c r="P10" i="217"/>
  <c r="N10" i="217"/>
  <c r="R10" i="217"/>
  <c r="L10" i="217"/>
  <c r="K22" i="217"/>
  <c r="T10" i="217"/>
  <c r="G11" i="219"/>
  <c r="F11" i="219"/>
  <c r="H11" i="219"/>
  <c r="I12" i="235"/>
  <c r="J8" i="235" s="1"/>
  <c r="F6" i="239"/>
  <c r="E6" i="239"/>
  <c r="E8" i="240"/>
  <c r="F8" i="240"/>
  <c r="H10" i="214"/>
  <c r="H10" i="241"/>
  <c r="H16" i="383"/>
  <c r="G8" i="386"/>
  <c r="G11" i="386"/>
  <c r="Q4" i="217"/>
  <c r="N4" i="217"/>
  <c r="T4" i="217"/>
  <c r="L4" i="217"/>
  <c r="S4" i="217"/>
  <c r="O4" i="217"/>
  <c r="M4" i="217"/>
  <c r="I15" i="217"/>
  <c r="H8" i="219"/>
  <c r="F8" i="219"/>
  <c r="G11" i="222"/>
  <c r="F11" i="222"/>
  <c r="C7" i="230"/>
  <c r="D7" i="230" s="1"/>
  <c r="E5" i="229"/>
  <c r="F5" i="229"/>
  <c r="J10" i="214"/>
  <c r="I10" i="214"/>
  <c r="G10" i="214"/>
  <c r="I10" i="241"/>
  <c r="G10" i="241"/>
  <c r="J10" i="241"/>
  <c r="F9" i="342"/>
  <c r="E9" i="342"/>
  <c r="H34" i="435"/>
  <c r="B10" i="61"/>
  <c r="E10" i="61" s="1"/>
  <c r="L16" i="384"/>
  <c r="K13" i="384"/>
  <c r="G16" i="386"/>
  <c r="E16" i="386"/>
  <c r="H6" i="282"/>
  <c r="G13" i="222"/>
  <c r="F13" i="222"/>
  <c r="D37" i="380"/>
  <c r="D32" i="380"/>
  <c r="D25" i="380"/>
  <c r="E37" i="380"/>
  <c r="E33" i="380"/>
  <c r="D34" i="380"/>
  <c r="D35" i="380"/>
  <c r="P10" i="384"/>
  <c r="E15" i="384"/>
  <c r="G7" i="78"/>
  <c r="C7" i="78"/>
  <c r="E4" i="215"/>
  <c r="F4" i="215"/>
  <c r="M6" i="217"/>
  <c r="T6" i="217"/>
  <c r="L6" i="217"/>
  <c r="R6" i="217"/>
  <c r="N6" i="217"/>
  <c r="Q6" i="217"/>
  <c r="K18" i="217"/>
  <c r="T10" i="227"/>
  <c r="J7" i="233"/>
  <c r="M7" i="233"/>
  <c r="N7" i="233"/>
  <c r="K7" i="233"/>
  <c r="L9" i="233"/>
  <c r="I9" i="233"/>
  <c r="N9" i="233"/>
  <c r="K9" i="233"/>
  <c r="J9" i="233"/>
  <c r="I4" i="214"/>
  <c r="G4" i="214"/>
  <c r="J4" i="214"/>
  <c r="H4" i="214"/>
  <c r="F11" i="214"/>
  <c r="J11" i="214" s="1"/>
  <c r="H8" i="214"/>
  <c r="J8" i="214"/>
  <c r="G8" i="214"/>
  <c r="E5" i="274"/>
  <c r="D5" i="274"/>
  <c r="F5" i="379"/>
  <c r="E5" i="379"/>
  <c r="E29" i="380"/>
  <c r="D33" i="380"/>
  <c r="G9" i="386"/>
  <c r="G17" i="386"/>
  <c r="F17" i="401"/>
  <c r="G10" i="78"/>
  <c r="C9" i="230"/>
  <c r="D9" i="230" s="1"/>
  <c r="E13" i="215"/>
  <c r="P6" i="217"/>
  <c r="O8" i="217"/>
  <c r="N8" i="217"/>
  <c r="T8" i="217"/>
  <c r="L8" i="217"/>
  <c r="P8" i="217"/>
  <c r="S8" i="217"/>
  <c r="R8" i="217"/>
  <c r="Q8" i="217"/>
  <c r="F6" i="219"/>
  <c r="H6" i="219"/>
  <c r="F6" i="225"/>
  <c r="E6" i="225"/>
  <c r="K11" i="225"/>
  <c r="C12" i="225"/>
  <c r="L7" i="233"/>
  <c r="E9" i="239"/>
  <c r="F9" i="239"/>
  <c r="E14" i="342"/>
  <c r="D26" i="380"/>
  <c r="D27" i="380"/>
  <c r="D28" i="380"/>
  <c r="K14" i="382"/>
  <c r="Q8" i="383"/>
  <c r="K5" i="384"/>
  <c r="B16" i="384"/>
  <c r="I5" i="396"/>
  <c r="S6" i="217"/>
  <c r="E5" i="223"/>
  <c r="F5" i="223"/>
  <c r="G13" i="78"/>
  <c r="R7" i="217"/>
  <c r="Q7" i="217"/>
  <c r="O7" i="217"/>
  <c r="M7" i="217"/>
  <c r="K19" i="217"/>
  <c r="S7" i="217"/>
  <c r="F11" i="227"/>
  <c r="T11" i="227" s="1"/>
  <c r="F15" i="226"/>
  <c r="L8" i="228"/>
  <c r="K8" i="228"/>
  <c r="I8" i="228"/>
  <c r="H8" i="228"/>
  <c r="F10" i="223"/>
  <c r="E10" i="223"/>
  <c r="E7" i="229"/>
  <c r="D10" i="229"/>
  <c r="N5" i="232"/>
  <c r="K5" i="232"/>
  <c r="I5" i="232"/>
  <c r="M5" i="232"/>
  <c r="J5" i="232"/>
  <c r="F11" i="233"/>
  <c r="H10" i="233"/>
  <c r="H12" i="235"/>
  <c r="E5" i="386"/>
  <c r="G6" i="78"/>
  <c r="C8" i="230"/>
  <c r="D8" i="230" s="1"/>
  <c r="E12" i="215"/>
  <c r="L7" i="217"/>
  <c r="G4" i="219"/>
  <c r="G12" i="222"/>
  <c r="F12" i="222"/>
  <c r="J8" i="228"/>
  <c r="E4" i="225"/>
  <c r="F4" i="225"/>
  <c r="F7" i="229"/>
  <c r="L5" i="232"/>
  <c r="L4" i="233"/>
  <c r="J4" i="233"/>
  <c r="N4" i="233"/>
  <c r="K4" i="233"/>
  <c r="I4" i="233"/>
  <c r="E6" i="240"/>
  <c r="F6" i="240"/>
  <c r="Q13" i="217"/>
  <c r="P13" i="217"/>
  <c r="N13" i="217"/>
  <c r="K17" i="217"/>
  <c r="F5" i="224"/>
  <c r="H10" i="232"/>
  <c r="B11" i="232"/>
  <c r="C11" i="233"/>
  <c r="E7" i="239"/>
  <c r="F7" i="239"/>
  <c r="J6" i="214"/>
  <c r="G6" i="214"/>
  <c r="H6" i="214"/>
  <c r="K10" i="424"/>
  <c r="T5" i="217"/>
  <c r="M13" i="217"/>
  <c r="E14" i="219"/>
  <c r="E15" i="219" s="1"/>
  <c r="H15" i="219" s="1"/>
  <c r="F6" i="224"/>
  <c r="E6" i="224"/>
  <c r="F12" i="223"/>
  <c r="E12" i="223"/>
  <c r="J4" i="231"/>
  <c r="H4" i="231"/>
  <c r="F10" i="231"/>
  <c r="D11" i="232"/>
  <c r="E11" i="233"/>
  <c r="J6" i="241"/>
  <c r="H6" i="241"/>
  <c r="I6" i="241"/>
  <c r="D12" i="422"/>
  <c r="E13" i="423"/>
  <c r="D16" i="399"/>
  <c r="C16" i="399" s="1"/>
  <c r="F4" i="222"/>
  <c r="D15" i="226"/>
  <c r="D11" i="227"/>
  <c r="R11" i="227" s="1"/>
  <c r="E6" i="223"/>
  <c r="F6" i="223"/>
  <c r="B15" i="223"/>
  <c r="J14" i="223"/>
  <c r="I9" i="231"/>
  <c r="G9" i="231"/>
  <c r="F5" i="240"/>
  <c r="E5" i="240"/>
  <c r="G5" i="214"/>
  <c r="J5" i="214"/>
  <c r="Q9" i="217"/>
  <c r="S11" i="217"/>
  <c r="P12" i="217"/>
  <c r="K21" i="217"/>
  <c r="G5" i="231"/>
  <c r="J5" i="231"/>
  <c r="J8" i="231"/>
  <c r="G8" i="231"/>
  <c r="I4" i="232"/>
  <c r="N4" i="232"/>
  <c r="L4" i="232"/>
  <c r="I6" i="233"/>
  <c r="N6" i="233"/>
  <c r="L6" i="233"/>
  <c r="G4" i="241"/>
  <c r="J4" i="241"/>
  <c r="S9" i="217"/>
  <c r="M11" i="217"/>
  <c r="R12" i="217"/>
  <c r="K23" i="217"/>
  <c r="G5" i="219"/>
  <c r="G7" i="219"/>
  <c r="G9" i="219"/>
  <c r="E14" i="222"/>
  <c r="G14" i="222" s="1"/>
  <c r="I7" i="228"/>
  <c r="I11" i="228"/>
  <c r="K13" i="228"/>
  <c r="I13" i="228"/>
  <c r="Q10" i="227"/>
  <c r="I5" i="231"/>
  <c r="I8" i="231"/>
  <c r="K4" i="232"/>
  <c r="K6" i="233"/>
  <c r="D11" i="239"/>
  <c r="E11" i="239" s="1"/>
  <c r="J7" i="214"/>
  <c r="H7" i="214"/>
  <c r="I4" i="241"/>
  <c r="L9" i="217"/>
  <c r="S12" i="217"/>
  <c r="H13" i="228"/>
  <c r="M4" i="232"/>
  <c r="M6" i="233"/>
  <c r="G7" i="214"/>
  <c r="J5" i="241"/>
  <c r="G5" i="241"/>
  <c r="N6" i="232"/>
  <c r="N9" i="232"/>
  <c r="K5" i="233"/>
  <c r="N8" i="233"/>
  <c r="N4" i="242"/>
  <c r="N5" i="242"/>
  <c r="N6" i="242"/>
  <c r="N7" i="242"/>
  <c r="N8" i="242"/>
  <c r="N9" i="242"/>
  <c r="N10" i="242"/>
  <c r="I12" i="228"/>
  <c r="I7" i="231"/>
  <c r="E15" i="374"/>
  <c r="H35" i="435"/>
  <c r="F14" i="342"/>
  <c r="E15" i="61"/>
  <c r="H11" i="402"/>
  <c r="P16" i="287"/>
  <c r="G16" i="287"/>
  <c r="H16" i="287"/>
  <c r="D6" i="426"/>
  <c r="D8" i="426"/>
  <c r="D12" i="426"/>
  <c r="D14" i="426"/>
  <c r="D16" i="426"/>
  <c r="D18" i="426"/>
  <c r="D10" i="426"/>
  <c r="G9" i="336"/>
  <c r="G5" i="336"/>
  <c r="G12" i="336"/>
  <c r="G6" i="336"/>
  <c r="G13" i="336"/>
  <c r="G10" i="336"/>
  <c r="G11" i="336"/>
  <c r="D10" i="336"/>
  <c r="D5" i="336"/>
  <c r="D8" i="336"/>
  <c r="D12" i="336"/>
  <c r="D9" i="336"/>
  <c r="D13" i="336"/>
  <c r="D6" i="336"/>
  <c r="D7" i="336"/>
  <c r="J11" i="335"/>
  <c r="E25" i="380"/>
  <c r="D36" i="380"/>
  <c r="D29" i="380"/>
  <c r="D30" i="380"/>
  <c r="D31" i="380"/>
  <c r="E32" i="380"/>
  <c r="I13" i="236"/>
  <c r="H13" i="236"/>
  <c r="C10" i="238" s="1"/>
  <c r="J11" i="427"/>
  <c r="J6" i="427"/>
  <c r="I14" i="427"/>
  <c r="D11" i="389"/>
  <c r="E11" i="389"/>
  <c r="C16" i="78"/>
  <c r="G9" i="78"/>
  <c r="E16" i="78"/>
  <c r="G16" i="78"/>
  <c r="E9" i="78"/>
  <c r="H14" i="445"/>
  <c r="E13" i="389" l="1"/>
  <c r="H33" i="446"/>
  <c r="C15" i="389"/>
  <c r="G18" i="79"/>
  <c r="I15" i="426"/>
  <c r="G13" i="287"/>
  <c r="B13" i="333"/>
  <c r="D13" i="333" s="1"/>
  <c r="I17" i="426"/>
  <c r="F9" i="287"/>
  <c r="I16" i="426"/>
  <c r="I18" i="426"/>
  <c r="I14" i="426"/>
  <c r="I7" i="426"/>
  <c r="I5" i="426"/>
  <c r="I12" i="426"/>
  <c r="I19" i="426"/>
  <c r="F13" i="287"/>
  <c r="B9" i="333"/>
  <c r="D9" i="333" s="1"/>
  <c r="I9" i="426"/>
  <c r="I6" i="426"/>
  <c r="I13" i="426"/>
  <c r="I10" i="426"/>
  <c r="I11" i="426"/>
  <c r="I11" i="242"/>
  <c r="D10" i="238"/>
  <c r="D11" i="238" s="1"/>
  <c r="C11" i="238"/>
  <c r="C14" i="386"/>
  <c r="I11" i="241"/>
  <c r="F12" i="227"/>
  <c r="C9" i="386"/>
  <c r="G18" i="386"/>
  <c r="E10" i="240"/>
  <c r="E9" i="225"/>
  <c r="J7" i="427"/>
  <c r="D11" i="240"/>
  <c r="E11" i="240" s="1"/>
  <c r="J9" i="427"/>
  <c r="D12" i="227"/>
  <c r="H10" i="287"/>
  <c r="P10" i="287"/>
  <c r="C11" i="386"/>
  <c r="B10" i="333"/>
  <c r="D10" i="333" s="1"/>
  <c r="P16" i="383"/>
  <c r="P14" i="384"/>
  <c r="P16" i="384" s="1"/>
  <c r="G7" i="287"/>
  <c r="G9" i="287"/>
  <c r="P7" i="287"/>
  <c r="L14" i="226"/>
  <c r="D14" i="223"/>
  <c r="F14" i="223" s="1"/>
  <c r="G11" i="241"/>
  <c r="N14" i="226"/>
  <c r="K14" i="226"/>
  <c r="F14" i="222"/>
  <c r="I13" i="427"/>
  <c r="P6" i="287"/>
  <c r="Q15" i="382"/>
  <c r="M14" i="226"/>
  <c r="H15" i="226"/>
  <c r="N15" i="226" s="1"/>
  <c r="Q14" i="382"/>
  <c r="B14" i="381" s="1"/>
  <c r="B16" i="381" s="1"/>
  <c r="F10" i="287"/>
  <c r="B6" i="333"/>
  <c r="K14" i="384"/>
  <c r="H8" i="446"/>
  <c r="H4" i="446"/>
  <c r="H25" i="446"/>
  <c r="H36" i="446"/>
  <c r="H5" i="446"/>
  <c r="H12" i="446"/>
  <c r="H14" i="446"/>
  <c r="H15" i="446"/>
  <c r="H21" i="446"/>
  <c r="K11" i="242"/>
  <c r="N11" i="242"/>
  <c r="J11" i="241"/>
  <c r="F11" i="239"/>
  <c r="J5" i="235"/>
  <c r="J9" i="235"/>
  <c r="J7" i="235"/>
  <c r="J10" i="235"/>
  <c r="J6" i="235"/>
  <c r="J11" i="235"/>
  <c r="J4" i="235"/>
  <c r="L10" i="233"/>
  <c r="G10" i="231"/>
  <c r="I14" i="226"/>
  <c r="F15" i="219"/>
  <c r="G15" i="219"/>
  <c r="F14" i="219"/>
  <c r="G14" i="219"/>
  <c r="H14" i="219"/>
  <c r="E18" i="79"/>
  <c r="Q14" i="217"/>
  <c r="R14" i="217"/>
  <c r="H34" i="446"/>
  <c r="H27" i="446"/>
  <c r="E12" i="287"/>
  <c r="G12" i="287" s="1"/>
  <c r="I11" i="214"/>
  <c r="J11" i="225"/>
  <c r="E16" i="384"/>
  <c r="H23" i="446"/>
  <c r="H35" i="446"/>
  <c r="J11" i="236"/>
  <c r="D16" i="333"/>
  <c r="G11" i="214"/>
  <c r="D11" i="225"/>
  <c r="E11" i="225" s="1"/>
  <c r="H11" i="214"/>
  <c r="H16" i="446"/>
  <c r="K27" i="217"/>
  <c r="H29" i="446"/>
  <c r="H17" i="446"/>
  <c r="F15" i="215"/>
  <c r="P14" i="217"/>
  <c r="H32" i="446"/>
  <c r="H6" i="446"/>
  <c r="Q16" i="383"/>
  <c r="H20" i="446"/>
  <c r="H26" i="446"/>
  <c r="H18" i="446"/>
  <c r="H13" i="446"/>
  <c r="H28" i="446"/>
  <c r="E15" i="215"/>
  <c r="H11" i="446"/>
  <c r="C11" i="230"/>
  <c r="D11" i="230" s="1"/>
  <c r="H30" i="446"/>
  <c r="H10" i="446"/>
  <c r="K16" i="383"/>
  <c r="C9" i="78"/>
  <c r="K16" i="382"/>
  <c r="P16" i="382"/>
  <c r="J12" i="427"/>
  <c r="H24" i="446"/>
  <c r="J5" i="274"/>
  <c r="H31" i="446"/>
  <c r="H22" i="446"/>
  <c r="H9" i="446"/>
  <c r="H19" i="446"/>
  <c r="H7" i="446"/>
  <c r="F14" i="224"/>
  <c r="D15" i="224"/>
  <c r="E14" i="224"/>
  <c r="M10" i="232"/>
  <c r="H11" i="232"/>
  <c r="K11" i="232" s="1"/>
  <c r="K10" i="232"/>
  <c r="Q11" i="227"/>
  <c r="C12" i="227"/>
  <c r="J10" i="232"/>
  <c r="F10" i="229"/>
  <c r="D11" i="229"/>
  <c r="J12" i="236"/>
  <c r="I10" i="427"/>
  <c r="J10" i="427"/>
  <c r="I6" i="427"/>
  <c r="N10" i="233"/>
  <c r="N10" i="232"/>
  <c r="U11" i="227"/>
  <c r="G12" i="227"/>
  <c r="D14" i="336"/>
  <c r="G14" i="287"/>
  <c r="F14" i="287"/>
  <c r="B14" i="333"/>
  <c r="D14" i="333" s="1"/>
  <c r="H14" i="287"/>
  <c r="I10" i="232"/>
  <c r="G14" i="336"/>
  <c r="E10" i="229"/>
  <c r="J8" i="427"/>
  <c r="I8" i="427"/>
  <c r="D18" i="334"/>
  <c r="C19" i="334"/>
  <c r="J10" i="236"/>
  <c r="J8" i="236"/>
  <c r="J5" i="236"/>
  <c r="J4" i="236"/>
  <c r="J6" i="236"/>
  <c r="J9" i="236"/>
  <c r="C14" i="273"/>
  <c r="J10" i="233"/>
  <c r="M10" i="233"/>
  <c r="H11" i="233"/>
  <c r="K10" i="233"/>
  <c r="I10" i="233"/>
  <c r="L10" i="232"/>
  <c r="C14" i="272"/>
  <c r="J7" i="236"/>
  <c r="H11" i="227"/>
  <c r="H12" i="227" s="1"/>
  <c r="D6" i="230"/>
  <c r="J14" i="427"/>
  <c r="C12" i="386"/>
  <c r="C7" i="386"/>
  <c r="C4" i="386"/>
  <c r="C8" i="386"/>
  <c r="C17" i="386"/>
  <c r="C6" i="386"/>
  <c r="C13" i="386"/>
  <c r="E18" i="386"/>
  <c r="C16" i="386"/>
  <c r="C3" i="386"/>
  <c r="C15" i="386"/>
  <c r="C10" i="386"/>
  <c r="C5" i="386"/>
  <c r="S14" i="217"/>
  <c r="H10" i="231"/>
  <c r="N14" i="217"/>
  <c r="L14" i="217"/>
  <c r="C15" i="223"/>
  <c r="K15" i="384"/>
  <c r="T14" i="217"/>
  <c r="B25" i="379"/>
  <c r="B12" i="177"/>
  <c r="C3" i="177" s="1"/>
  <c r="M14" i="217"/>
  <c r="F15" i="224"/>
  <c r="F15" i="287"/>
  <c r="I8" i="396"/>
  <c r="K15" i="217"/>
  <c r="S15" i="217" s="1"/>
  <c r="I10" i="231"/>
  <c r="J10" i="231"/>
  <c r="E15" i="222"/>
  <c r="F15" i="222" s="1"/>
  <c r="B15" i="333"/>
  <c r="D15" i="333" s="1"/>
  <c r="I11" i="427"/>
  <c r="F11" i="231"/>
  <c r="J11" i="242"/>
  <c r="M11" i="242"/>
  <c r="E15" i="224"/>
  <c r="G15" i="287"/>
  <c r="N16" i="384"/>
  <c r="C7" i="179"/>
  <c r="I20" i="426" l="1"/>
  <c r="F11" i="240"/>
  <c r="D15" i="223"/>
  <c r="E15" i="223" s="1"/>
  <c r="E14" i="223"/>
  <c r="L15" i="226"/>
  <c r="I15" i="226"/>
  <c r="E14" i="389"/>
  <c r="E15" i="389" s="1"/>
  <c r="D14" i="389"/>
  <c r="J15" i="226"/>
  <c r="M15" i="226"/>
  <c r="K15" i="226"/>
  <c r="Q16" i="382"/>
  <c r="D6" i="333"/>
  <c r="K16" i="384"/>
  <c r="H37" i="446"/>
  <c r="J12" i="235"/>
  <c r="M11" i="233"/>
  <c r="F11" i="225"/>
  <c r="D12" i="225"/>
  <c r="I11" i="232"/>
  <c r="B12" i="333"/>
  <c r="D12" i="333" s="1"/>
  <c r="F12" i="287"/>
  <c r="H12" i="287"/>
  <c r="P12" i="287"/>
  <c r="J13" i="236"/>
  <c r="E11" i="229"/>
  <c r="F11" i="229"/>
  <c r="T15" i="217"/>
  <c r="P15" i="217"/>
  <c r="M15" i="217"/>
  <c r="O15" i="217"/>
  <c r="L15" i="217"/>
  <c r="R15" i="217"/>
  <c r="N15" i="217"/>
  <c r="Q15" i="217"/>
  <c r="L11" i="232"/>
  <c r="N11" i="232"/>
  <c r="J11" i="232"/>
  <c r="M11" i="232"/>
  <c r="N11" i="233"/>
  <c r="J11" i="233"/>
  <c r="K11" i="233"/>
  <c r="L11" i="233"/>
  <c r="I11" i="233"/>
  <c r="G15" i="222"/>
  <c r="C11" i="177"/>
  <c r="C10" i="177"/>
  <c r="D19" i="334"/>
  <c r="C20" i="334"/>
  <c r="I11" i="231"/>
  <c r="J11" i="231"/>
  <c r="G11" i="231"/>
  <c r="H11" i="231"/>
  <c r="F15" i="223" l="1"/>
  <c r="C12" i="177"/>
  <c r="D20" i="334"/>
  <c r="C21" i="334"/>
  <c r="C22" i="334" l="1"/>
  <c r="D21" i="334"/>
  <c r="D22" i="334" l="1"/>
  <c r="C23" i="334"/>
  <c r="D23" i="334" s="1"/>
  <c r="G14" i="228"/>
  <c r="G15" i="228" s="1"/>
  <c r="F15" i="228"/>
  <c r="K14" i="228" l="1"/>
  <c r="J14" i="228"/>
  <c r="L14" i="228"/>
  <c r="L15" i="228"/>
  <c r="H15" i="228"/>
  <c r="I15" i="228"/>
  <c r="J15" i="228"/>
  <c r="K15" i="228"/>
  <c r="I14" i="228"/>
  <c r="H14" i="228"/>
</calcChain>
</file>

<file path=xl/comments1.xml><?xml version="1.0" encoding="utf-8"?>
<comments xmlns="http://schemas.openxmlformats.org/spreadsheetml/2006/main">
  <authors>
    <author xml:space="preserve"> </author>
  </authors>
  <commentList>
    <comment ref="B11"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mments2.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3.xml><?xml version="1.0" encoding="utf-8"?>
<comments xmlns="http://schemas.openxmlformats.org/spreadsheetml/2006/main">
  <authors>
    <author xml:space="preserve"> </author>
  </authors>
  <commentList>
    <comment ref="D25"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
        </x15:connection>
      </ext>
    </extLst>
  </connection>
</connections>
</file>

<file path=xl/sharedStrings.xml><?xml version="1.0" encoding="utf-8"?>
<sst xmlns="http://schemas.openxmlformats.org/spreadsheetml/2006/main" count="18463" uniqueCount="985">
  <si>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</si>
  <si>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</si>
  <si>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</si>
  <si>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</si>
  <si>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</si>
  <si>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</si>
  <si>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</si>
  <si>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</si>
  <si>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</si>
  <si>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</si>
  <si>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</si>
  <si>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</si>
  <si>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</si>
  <si>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</si>
  <si>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</si>
  <si>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</si>
  <si>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</si>
  <si>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</si>
  <si>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</si>
  <si>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</si>
  <si>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</si>
  <si>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</si>
  <si>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</si>
  <si>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</si>
  <si>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</si>
  <si>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</si>
  <si>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2003</t>
  </si>
  <si>
    <t>Dic. 2004</t>
  </si>
  <si>
    <t>Dic. 2005</t>
  </si>
  <si>
    <t>Dic. 2006</t>
  </si>
  <si>
    <t>Dic. 2007</t>
  </si>
  <si>
    <t>Dic. 2008</t>
  </si>
  <si>
    <t>Dic. 2009</t>
  </si>
  <si>
    <t xml:space="preserve"> </t>
  </si>
  <si>
    <t>Afiliación SDSS</t>
  </si>
  <si>
    <t>Población Total</t>
  </si>
  <si>
    <t>Dic.  2012</t>
  </si>
  <si>
    <t>Dic.  2013</t>
  </si>
  <si>
    <t>Dic.  2014</t>
  </si>
  <si>
    <t>Dic.  2015</t>
  </si>
  <si>
    <t>Dic.  2016</t>
  </si>
  <si>
    <t>Dic.  2017</t>
  </si>
  <si>
    <t>Dic.  2018</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</si>
  <si>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</si>
  <si>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</si>
  <si>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</si>
  <si>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</si>
  <si>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</si>
  <si>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</si>
  <si>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</si>
  <si>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</si>
  <si>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</si>
  <si>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</si>
  <si>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</si>
  <si>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</si>
  <si>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</si>
  <si>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</si>
  <si>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</si>
  <si>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</si>
  <si>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</si>
  <si>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</si>
  <si>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</si>
  <si>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</si>
  <si>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</si>
  <si>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</si>
  <si>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</si>
  <si>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</si>
  <si>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</si>
  <si>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</si>
  <si>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</si>
  <si>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</si>
  <si>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</si>
  <si>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</si>
  <si>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</si>
  <si>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</si>
  <si>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</si>
  <si>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</si>
  <si>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</si>
  <si>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</si>
  <si>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</si>
  <si>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</si>
  <si>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</si>
  <si>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</si>
  <si>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</si>
  <si>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</si>
  <si>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</si>
  <si>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</si>
  <si>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</si>
  <si>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</si>
  <si>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</si>
  <si>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</si>
  <si>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</si>
  <si>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</si>
  <si>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</si>
  <si>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</si>
  <si>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</si>
  <si>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</si>
  <si>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</si>
  <si>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S.E.H.</t>
  </si>
  <si>
    <t>Total Reparto</t>
  </si>
  <si>
    <t>Total General</t>
  </si>
  <si>
    <t>Popular</t>
  </si>
  <si>
    <t>Reservas</t>
  </si>
  <si>
    <t>TOTAL</t>
  </si>
  <si>
    <t xml:space="preserve">FONAMAT </t>
  </si>
  <si>
    <t xml:space="preserve">Subsidios </t>
  </si>
  <si>
    <t>Comisión SISALRIL</t>
  </si>
  <si>
    <t>Estancias Infantiles</t>
  </si>
  <si>
    <t>ARS</t>
  </si>
  <si>
    <t>Fondos dispersados</t>
  </si>
  <si>
    <t>Humano</t>
  </si>
  <si>
    <t>Salud Segura</t>
  </si>
  <si>
    <t>Universal</t>
  </si>
  <si>
    <t>SENASA RC</t>
  </si>
  <si>
    <t>SEMMA</t>
  </si>
  <si>
    <t>La Colonial</t>
  </si>
  <si>
    <t>CMD</t>
  </si>
  <si>
    <t>Dr. Yunen</t>
  </si>
  <si>
    <t>Futuro</t>
  </si>
  <si>
    <t xml:space="preserve">Monumental </t>
  </si>
  <si>
    <t>Renacer</t>
  </si>
  <si>
    <t>METASALUD</t>
  </si>
  <si>
    <t>FFAA</t>
  </si>
  <si>
    <t>ISSAPOL</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</si>
  <si>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</si>
  <si>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</si>
  <si>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</si>
  <si>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</si>
  <si>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</si>
  <si>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</si>
  <si>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</si>
  <si>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</si>
  <si>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</si>
  <si>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</si>
  <si>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</si>
  <si>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</si>
  <si>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</si>
  <si>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</si>
  <si>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</si>
  <si>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</si>
  <si>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</si>
  <si>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</si>
  <si>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</si>
  <si>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</si>
  <si>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</si>
  <si>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</si>
  <si>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</si>
  <si>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</si>
  <si>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</si>
  <si>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</si>
  <si>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</si>
  <si>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</si>
  <si>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</si>
  <si>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</si>
  <si>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</si>
  <si>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</si>
  <si>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</si>
  <si>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Afiliados Titulares </t>
  </si>
  <si>
    <t xml:space="preserve"> % Afiliados Dependientes</t>
  </si>
  <si>
    <t>UCEMED</t>
  </si>
  <si>
    <t xml:space="preserve">BMI </t>
  </si>
  <si>
    <t>IGMAM</t>
  </si>
  <si>
    <t>Serv. de Igualas Méd. Dr. Abel</t>
  </si>
  <si>
    <t>Saldos</t>
  </si>
  <si>
    <t>% / Total</t>
  </si>
  <si>
    <t>Total Empresas</t>
  </si>
  <si>
    <t>Total  Empleados</t>
  </si>
  <si>
    <t>Privado</t>
  </si>
  <si>
    <t>Público</t>
  </si>
  <si>
    <t>Público Centralizado</t>
  </si>
  <si>
    <t xml:space="preserve"> Total  </t>
  </si>
  <si>
    <t>Dispersión SVDS</t>
  </si>
  <si>
    <t xml:space="preserve">Traspasos Cedidos  en AFP y Reparto </t>
  </si>
  <si>
    <t xml:space="preserve">Traspasos Netos  en AFP y Reparto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</si>
  <si>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</si>
  <si>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</si>
  <si>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</si>
  <si>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</si>
  <si>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</si>
  <si>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</si>
  <si>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</si>
  <si>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</si>
  <si>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</si>
  <si>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</si>
  <si>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</si>
  <si>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</si>
  <si>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</si>
  <si>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</si>
  <si>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</si>
  <si>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Tasa de crecimiento</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</si>
  <si>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</si>
  <si>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</si>
  <si>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</si>
  <si>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</si>
  <si>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</si>
  <si>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</si>
  <si>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</si>
  <si>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</si>
  <si>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</si>
  <si>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</si>
  <si>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</si>
  <si>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</si>
  <si>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</si>
  <si>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</si>
  <si>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</si>
  <si>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</si>
  <si>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</si>
  <si>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</si>
  <si>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</si>
  <si>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</si>
  <si>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</si>
  <si>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FONAMAT</t>
  </si>
  <si>
    <t xml:space="preserve"> Total Invertido</t>
  </si>
  <si>
    <t>Banco Central del a RD</t>
  </si>
  <si>
    <t>Banco BHD</t>
  </si>
  <si>
    <t>Banco del Progreso</t>
  </si>
  <si>
    <t>Banco Popular</t>
  </si>
  <si>
    <t>Banco de Reservas</t>
  </si>
  <si>
    <t>Cuidado de la Salud *</t>
  </si>
  <si>
    <t>.</t>
  </si>
  <si>
    <t>% crecimiento</t>
  </si>
  <si>
    <t>Asoc. de Profesionales de la Salud</t>
  </si>
  <si>
    <t xml:space="preserve">Menor de 19 </t>
  </si>
  <si>
    <t>Traspasos Recibidos en AFP y Reparto</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</si>
  <si>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</si>
  <si>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</si>
  <si>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</si>
  <si>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</si>
  <si>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</si>
  <si>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</si>
  <si>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</si>
  <si>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</si>
  <si>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</si>
  <si>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</si>
  <si>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</si>
  <si>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</si>
  <si>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</si>
  <si>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</si>
  <si>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</si>
  <si>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</si>
  <si>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</si>
  <si>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</si>
  <si>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Dic.  2019</t>
  </si>
  <si>
    <t>Dic.  2020</t>
  </si>
  <si>
    <t>Dic.  2021</t>
  </si>
  <si>
    <t xml:space="preserve">%  RC </t>
  </si>
  <si>
    <t xml:space="preserve">%   RS </t>
  </si>
  <si>
    <t>Mes/Año</t>
  </si>
  <si>
    <t>Mes / Año</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</si>
  <si>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</si>
  <si>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</si>
  <si>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</si>
  <si>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</si>
  <si>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</si>
  <si>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</si>
  <si>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</si>
  <si>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</si>
  <si>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</si>
  <si>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</si>
  <si>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</si>
  <si>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</si>
  <si>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</si>
  <si>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</si>
  <si>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</si>
  <si>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</si>
  <si>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</si>
  <si>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</si>
  <si>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</si>
  <si>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</si>
  <si>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</si>
  <si>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</si>
  <si>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</si>
  <si>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</si>
  <si>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</si>
  <si>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</si>
  <si>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</si>
  <si>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</si>
  <si>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</si>
  <si>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</si>
  <si>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</si>
  <si>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</si>
  <si>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</si>
  <si>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</si>
  <si>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</si>
  <si>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</si>
  <si>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</si>
  <si>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</si>
  <si>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</si>
  <si>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</si>
  <si>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</si>
  <si>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</si>
  <si>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</si>
  <si>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</si>
  <si>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</si>
  <si>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</si>
  <si>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</si>
  <si>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</si>
  <si>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</si>
  <si>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</si>
  <si>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</si>
  <si>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</si>
  <si>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</si>
  <si>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</si>
  <si>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</si>
  <si>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</si>
  <si>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</si>
  <si>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</si>
  <si>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</si>
  <si>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</si>
  <si>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</si>
  <si>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</si>
  <si>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</si>
  <si>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</si>
  <si>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</si>
  <si>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</si>
  <si>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</si>
  <si>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</si>
  <si>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</si>
  <si>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</si>
  <si>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</si>
  <si>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</si>
  <si>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</si>
  <si>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</si>
  <si>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</si>
  <si>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</si>
  <si>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</si>
  <si>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</si>
  <si>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</si>
  <si>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</si>
  <si>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</si>
  <si>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</si>
  <si>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</si>
  <si>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</si>
  <si>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</si>
  <si>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</si>
  <si>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</si>
  <si>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</si>
  <si>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</si>
  <si>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</si>
  <si>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</si>
  <si>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</si>
  <si>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</si>
  <si>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</si>
  <si>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</si>
  <si>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</si>
  <si>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</si>
  <si>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</si>
  <si>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</si>
  <si>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</si>
  <si>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</si>
  <si>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</si>
  <si>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</si>
  <si>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</si>
  <si>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</si>
  <si>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</si>
  <si>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</si>
  <si>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</si>
  <si>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</si>
  <si>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</si>
  <si>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</si>
  <si>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</si>
  <si>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</si>
  <si>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</si>
  <si>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</si>
  <si>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</si>
  <si>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</si>
  <si>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</si>
  <si>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</si>
  <si>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</si>
  <si>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</si>
  <si>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</si>
  <si>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</si>
  <si>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</si>
  <si>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</si>
  <si>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</si>
  <si>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</si>
  <si>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</si>
  <si>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</si>
  <si>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</si>
  <si>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</si>
  <si>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</si>
  <si>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</si>
  <si>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</si>
  <si>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</si>
  <si>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</si>
  <si>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</si>
  <si>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</si>
  <si>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</si>
  <si>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</si>
  <si>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</si>
  <si>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</si>
  <si>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</si>
  <si>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</si>
  <si>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</si>
  <si>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</si>
  <si>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</si>
  <si>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</si>
  <si>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</si>
  <si>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</si>
  <si>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</si>
  <si>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</si>
  <si>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</si>
  <si>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</si>
  <si>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</si>
  <si>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</si>
  <si>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</si>
  <si>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</si>
  <si>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</si>
  <si>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</si>
  <si>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</si>
  <si>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</si>
  <si>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</si>
  <si>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</si>
  <si>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</si>
  <si>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</si>
  <si>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</si>
  <si>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</si>
  <si>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</si>
  <si>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</si>
  <si>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</si>
  <si>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</si>
  <si>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</si>
  <si>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</si>
  <si>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</si>
  <si>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</si>
  <si>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</si>
  <si>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</si>
  <si>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La vega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</si>
  <si>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</si>
  <si>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</si>
  <si>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</si>
  <si>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</si>
  <si>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 Calculado con el PIB del cierre del año 2011 publicado por el Banco Central</t>
  </si>
  <si>
    <t>Mar.12</t>
  </si>
  <si>
    <t>Dic.09</t>
  </si>
  <si>
    <t>Dic.10</t>
  </si>
  <si>
    <t>Dic.11</t>
  </si>
  <si>
    <t xml:space="preserve">Intrumentos </t>
  </si>
  <si>
    <t xml:space="preserve">Inversión </t>
  </si>
  <si>
    <t>Bonos del Gobierno Central</t>
  </si>
  <si>
    <t>Bonos Corporativos</t>
  </si>
  <si>
    <t>Bonos Ordinarios</t>
  </si>
  <si>
    <t>Otras Inversiones</t>
  </si>
  <si>
    <t>Total Inversiones</t>
  </si>
  <si>
    <t>Adm. Serv. Médicos Amor y Paz</t>
  </si>
  <si>
    <t>Palic Salud</t>
  </si>
  <si>
    <t>% Accidentados
 20 -29 años</t>
  </si>
  <si>
    <t>% Accidentados
 30 -39 años</t>
  </si>
  <si>
    <t>Certificados de Depósitos</t>
  </si>
  <si>
    <t>Ocupada Sector Formal</t>
  </si>
  <si>
    <t>Banco León</t>
  </si>
  <si>
    <t xml:space="preserve"> No Especificado</t>
  </si>
  <si>
    <t xml:space="preserve"> 2002</t>
  </si>
  <si>
    <t>Bco. Reservas</t>
  </si>
  <si>
    <t>Ingresos del SDSS</t>
  </si>
  <si>
    <t>Egreso del SDSS</t>
  </si>
  <si>
    <t>Ingresos SDSS</t>
  </si>
  <si>
    <t>Egresos SDSS</t>
  </si>
  <si>
    <t>Ocupada Formal</t>
  </si>
  <si>
    <t>% Población Pobre del País Pobreza Monetaria MEPYD</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</si>
  <si>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</si>
  <si>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</si>
  <si>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</si>
  <si>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</si>
  <si>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</si>
  <si>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</si>
  <si>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</si>
  <si>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 xml:space="preserve"> FSS</t>
  </si>
  <si>
    <t>Pensionados de Hacienda</t>
  </si>
  <si>
    <t>Saldo  (Ingresos - Egresos SDSS)</t>
  </si>
  <si>
    <t>May.12</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</si>
  <si>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</si>
  <si>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</si>
  <si>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</si>
  <si>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</si>
  <si>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</si>
  <si>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</si>
  <si>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</si>
  <si>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</si>
  <si>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</si>
  <si>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</si>
  <si>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</si>
  <si>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</si>
  <si>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Población Económicamente Activa (PEA) Total</t>
  </si>
  <si>
    <t>Dic. 2012</t>
  </si>
  <si>
    <t>2012</t>
  </si>
  <si>
    <t>Dic.08</t>
  </si>
  <si>
    <t>Dic.12</t>
  </si>
  <si>
    <t>Dic.2007</t>
  </si>
  <si>
    <t>Dic.2008</t>
  </si>
  <si>
    <t>Dic.2011</t>
  </si>
  <si>
    <t>Dic.2012</t>
  </si>
  <si>
    <t xml:space="preserve"> 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</si>
  <si>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</si>
  <si>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Pensiones Sobrevivencia</t>
  </si>
  <si>
    <t>Beneficiarios  por pensiones de Sobrevivencia</t>
  </si>
  <si>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</si>
  <si>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</si>
  <si>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</si>
  <si>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</si>
  <si>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</si>
  <si>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</si>
  <si>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</si>
  <si>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</si>
  <si>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</si>
  <si>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</si>
  <si>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</si>
  <si>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</si>
  <si>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</si>
  <si>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</si>
  <si>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</si>
  <si>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</si>
  <si>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</si>
  <si>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</si>
  <si>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</si>
  <si>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</si>
  <si>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</si>
  <si>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</si>
  <si>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</si>
  <si>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</si>
  <si>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</si>
  <si>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</si>
  <si>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</si>
  <si>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</si>
  <si>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</si>
  <si>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</si>
  <si>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</si>
  <si>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</si>
  <si>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</si>
  <si>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</si>
  <si>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</si>
  <si>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</si>
  <si>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</si>
  <si>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</si>
  <si>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</si>
  <si>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</si>
  <si>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</si>
  <si>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  Afiliación  / Población Pobre</t>
  </si>
  <si>
    <t>Afiliación Total</t>
  </si>
  <si>
    <t xml:space="preserve">Afiliación  ARS Salud Segura </t>
  </si>
  <si>
    <t xml:space="preserve">Afiliación ARS SENASA </t>
  </si>
  <si>
    <t>Afiliación ARS SEMMA</t>
  </si>
  <si>
    <t>Afiliación    Total</t>
  </si>
  <si>
    <t>% Población Total Afiliada al  SFS</t>
  </si>
  <si>
    <t>Población Nacional Total</t>
  </si>
  <si>
    <t>% Afiliación SFS /Pob. Total</t>
  </si>
  <si>
    <t>Dic.13</t>
  </si>
  <si>
    <t>Oct.14</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</si>
  <si>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</si>
  <si>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</si>
  <si>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</si>
  <si>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</si>
  <si>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</si>
  <si>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</si>
  <si>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</si>
  <si>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</si>
  <si>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</si>
  <si>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</si>
  <si>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</si>
  <si>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RS</t>
  </si>
  <si>
    <t>Cobertura Afiliación   RET</t>
  </si>
  <si>
    <t>Cobertura Afiliación  Total al SFS</t>
  </si>
  <si>
    <t>Afiliación  Total al SFS</t>
  </si>
  <si>
    <t>Indice de dependencia</t>
  </si>
  <si>
    <r>
      <rPr>
        <b/>
        <sz val="12"/>
        <color theme="1"/>
        <rFont val="Calibri"/>
        <family val="2"/>
        <scheme val="minor"/>
      </rPr>
      <t>Fuente</t>
    </r>
    <r>
      <rPr>
        <sz val="12"/>
        <color theme="1"/>
        <rFont val="Calibri"/>
        <family val="2"/>
        <scheme val="minor"/>
      </rPr>
      <t>:Portal SISALRIL</t>
    </r>
  </si>
  <si>
    <t>Dic. 2013</t>
  </si>
  <si>
    <t>May.13</t>
  </si>
  <si>
    <t>Jun.14</t>
  </si>
  <si>
    <t>Jul.14</t>
  </si>
  <si>
    <t>Ago.14</t>
  </si>
  <si>
    <t>Sep.14</t>
  </si>
  <si>
    <t>May.11</t>
  </si>
  <si>
    <t>Población Ocupada Formal</t>
  </si>
  <si>
    <t>2013</t>
  </si>
  <si>
    <t>%  Afil./Ocup.</t>
  </si>
  <si>
    <t xml:space="preserve">Rentabilidad  Promedio de los Fondos de Pensiones </t>
  </si>
  <si>
    <t>Rentabilidad Nominal</t>
  </si>
  <si>
    <t xml:space="preserve">Inflación Acumulada </t>
  </si>
  <si>
    <t>Rentabilidad Real</t>
  </si>
  <si>
    <t>La Altagracia</t>
  </si>
  <si>
    <t>Total Empleados</t>
  </si>
  <si>
    <t>2014</t>
  </si>
  <si>
    <t>Dic. 2014</t>
  </si>
  <si>
    <t>Afiliación RS</t>
  </si>
  <si>
    <t>Dic.2014</t>
  </si>
  <si>
    <t>Dependientes  Totales RC</t>
  </si>
  <si>
    <t>Dic.14</t>
  </si>
  <si>
    <t>Ene.15</t>
  </si>
  <si>
    <t>Nov.14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</si>
  <si>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</si>
  <si>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</si>
  <si>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</si>
  <si>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</si>
  <si>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</si>
  <si>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</si>
  <si>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</si>
  <si>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</si>
  <si>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</si>
  <si>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</si>
  <si>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</si>
  <si>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</si>
  <si>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</si>
  <si>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</si>
  <si>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</si>
  <si>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M.H.</t>
  </si>
  <si>
    <t>Afiliados  por Grupo de Edad</t>
  </si>
  <si>
    <t xml:space="preserve"> Tipo I  </t>
  </si>
  <si>
    <t xml:space="preserve">Tipo  II  </t>
  </si>
  <si>
    <t xml:space="preserve">Tipo  III  </t>
  </si>
  <si>
    <t xml:space="preserve">Tipo  IV  </t>
  </si>
  <si>
    <t xml:space="preserve">Empleados Afiliados al SDSS por Tipo de Riesgos Laborales 
Empleados Activos </t>
  </si>
  <si>
    <t xml:space="preserve"> 2013</t>
  </si>
  <si>
    <t xml:space="preserve"> 2014</t>
  </si>
  <si>
    <t>* Incluye la dispersión para cubrir a los dependientes adicionales.
   ADA  dependientes adicionales</t>
  </si>
  <si>
    <t>Entidades</t>
  </si>
  <si>
    <t>% Participación</t>
  </si>
  <si>
    <t>Banco Central de la República Dominicana</t>
  </si>
  <si>
    <t>Asociación de Ahorros y Préstamos</t>
  </si>
  <si>
    <t>Bancos Múltiples</t>
  </si>
  <si>
    <t>Bancos de Ahorro y Crédito</t>
  </si>
  <si>
    <t>Banco Nacional de la Vivienda (BNV)</t>
  </si>
  <si>
    <t>Cartera Ministerio de Hacienda</t>
  </si>
  <si>
    <t>Organismos Multilarerales</t>
  </si>
  <si>
    <t>Bonos Subordinados</t>
  </si>
  <si>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</si>
  <si>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</si>
  <si>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</si>
  <si>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</si>
  <si>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</si>
  <si>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</si>
  <si>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</si>
  <si>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</si>
  <si>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</si>
  <si>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</si>
  <si>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</si>
  <si>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</si>
  <si>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Afiliados Dep. Totales
 RC</t>
  </si>
  <si>
    <t xml:space="preserve">                                                                                                      </t>
  </si>
  <si>
    <t xml:space="preserve">
</t>
  </si>
  <si>
    <t xml:space="preserve"> 
</t>
  </si>
  <si>
    <r>
      <t xml:space="preserve">
</t>
    </r>
    <r>
      <rPr>
        <b/>
        <sz val="11"/>
        <color indexed="8"/>
        <rFont val="Calibri"/>
        <family val="2"/>
      </rPr>
      <t/>
    </r>
  </si>
  <si>
    <t xml:space="preserve">      </t>
  </si>
  <si>
    <t xml:space="preserve">
</t>
  </si>
  <si>
    <t>III.3 Estadísticas Afiliación del Seguro Familiar de Salud (SFS) del Régimen Subsidiado (RS)</t>
  </si>
  <si>
    <t>III.2 Estadísticas Afiliación del Seguro Familiar de Salud (SFS) del Régimen Contributivo (RC)</t>
  </si>
  <si>
    <t>III.1  Estadísticas Afiliación del Seguro Familiar de Salud (SFS)</t>
  </si>
  <si>
    <t>III. Estadísticas Afiliación del Sistema Dominicano de Seguridad Social</t>
  </si>
  <si>
    <t>III.1.3 Afiliación del SFS a la Población Nacional</t>
  </si>
  <si>
    <t>III.1.4 Afiliación del SFS por Régimen de Financiamiento</t>
  </si>
  <si>
    <t>III.1.5 Cobertura de Afiliación al SFS por Régimen de Financiamiento</t>
  </si>
  <si>
    <t>III.4.2 Afiliación Anual de Pensionados al SFS</t>
  </si>
  <si>
    <t>III.4.3 Afiliación Mensual de Pensionados al SFS</t>
  </si>
  <si>
    <t>I.1 Ley 87-01</t>
  </si>
  <si>
    <t>I.2 Organización del Sistema</t>
  </si>
  <si>
    <t>I.3 Regímenes y Seguros del SDSS</t>
  </si>
  <si>
    <t>I.4 Seguros y Beneficios del SDSS</t>
  </si>
  <si>
    <t>IV. Estadísticas Ingreso y Egreso del Sistema Dominicano de Seguridad Social</t>
  </si>
  <si>
    <t>V. Estadísticas Beneficios, Solicitudes de Beneficios y Beneficiarios del Sistema Dominicano de Seguridad Social</t>
  </si>
  <si>
    <t>V.1 Beneficiarios y Beneficios de las Estancias Infantiles</t>
  </si>
  <si>
    <t>V.2 Beneficiarios y Beneficios de Subsidios del SFS</t>
  </si>
  <si>
    <t>V.3 Beneficiarios y Beneficios de Subsidios del SVDS</t>
  </si>
  <si>
    <t>V.3.3 Pensiones Otorgadas por Año del SVDS</t>
  </si>
  <si>
    <t>VII. Estadísticas Encuesta Nacional de Fuerza de Trabajo del Banco Central</t>
  </si>
  <si>
    <t>VII.1  Distribución de la Población Ocupada Formal por Rama de Actividad</t>
  </si>
  <si>
    <t>VII.2 Población Total República Dominicana y por Tipo de Ocupación</t>
  </si>
  <si>
    <t>I. Definiciones y Estructura del Sistema Dominicano de Seguridad Social (SDSS)</t>
  </si>
  <si>
    <t>V.4 Solicitud de Beneficios de la Administradora de Riesgos Laborales</t>
  </si>
  <si>
    <t>VI. Estadísticas Comisiones Médicas Nacional y Regional del Sistema Dominicano de Seguridad Social</t>
  </si>
  <si>
    <t>II. Estadísticas de Empresas del Sistema Dominicano de Seguridad Social (SDSS)</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</si>
  <si>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</si>
  <si>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</si>
  <si>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</si>
  <si>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</si>
  <si>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</si>
  <si>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</si>
  <si>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</si>
  <si>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</si>
  <si>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</si>
  <si>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</si>
  <si>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</si>
  <si>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</si>
  <si>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</si>
  <si>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</si>
  <si>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</si>
  <si>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</si>
  <si>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</si>
  <si>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</si>
  <si>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</si>
  <si>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</si>
  <si>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</si>
  <si>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</si>
  <si>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</si>
  <si>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</si>
  <si>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</si>
  <si>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</si>
  <si>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</si>
  <si>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</si>
  <si>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</si>
  <si>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</si>
  <si>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</si>
  <si>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</si>
  <si>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</si>
  <si>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</si>
  <si>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</si>
  <si>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</si>
  <si>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</si>
  <si>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</si>
  <si>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</si>
  <si>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Titulares  del SFS RC</t>
  </si>
  <si>
    <t>Cobertura de Afiliación de Depend. Totales del SFS RC</t>
  </si>
  <si>
    <t>Cobertura de Afiliación de Depend. Directos            del SFS RC</t>
  </si>
  <si>
    <t>Cobertura de Afiliación de Depend. Adicionales al SFS RC</t>
  </si>
  <si>
    <t>Total  Cobertura de Afiliación SFS RC</t>
  </si>
  <si>
    <t>Cobertura de Afiliaciónde Depend. Adicionales al SFS RC</t>
  </si>
  <si>
    <t>Total  Cobertura de AfiliaciónSFS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</si>
  <si>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</si>
  <si>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</si>
  <si>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</si>
  <si>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</si>
  <si>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</si>
  <si>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</si>
  <si>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</si>
  <si>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Mascullino</t>
  </si>
  <si>
    <t>Total Femenino</t>
  </si>
  <si>
    <t xml:space="preserve">Rendimientos Inversiones </t>
  </si>
  <si>
    <t>Pagos RC</t>
  </si>
  <si>
    <t xml:space="preserve">Pagos a SENASA RS </t>
  </si>
  <si>
    <t>Pago Salud Pensionado</t>
  </si>
  <si>
    <t>Aportes del Gob. Central y/o Retenciones  Salud Pensionado</t>
  </si>
  <si>
    <t>Instrumentos</t>
  </si>
  <si>
    <t xml:space="preserve"> Pago a SENASA </t>
  </si>
  <si>
    <t>Pagos a SENASA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</si>
  <si>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aber cotizado durante por lo menos ocho meses del período comprendido en los 12 meses anteriores a la fecha de su alumbramiento y no ejecutar trabajo remunerado alguno en dicho período. Esta prestación exime a la empresa de la obligacióndel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trabajdoras afiliadas sl régimen Contributivo con un salario cotizable inferior a tres salarios mínimos nacional, según lo establece el art. 132 de la Ley 87-01. En caso de parto múltiple, la madre recibirá el sabsidio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</si>
  <si>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Aportes a FONAMAT</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</si>
  <si>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</si>
  <si>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</si>
  <si>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</si>
  <si>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</si>
  <si>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</si>
  <si>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</si>
  <si>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</si>
  <si>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</si>
  <si>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</si>
  <si>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</si>
  <si>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</si>
  <si>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</si>
  <si>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</si>
  <si>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</si>
  <si>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</si>
  <si>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</si>
  <si>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</si>
  <si>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</si>
  <si>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</si>
  <si>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</si>
  <si>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</si>
  <si>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Salud RS</t>
  </si>
  <si>
    <t>RC (Empleador)</t>
  </si>
  <si>
    <t>PIB Corriente Nacional</t>
  </si>
  <si>
    <t xml:space="preserve">                                   </t>
  </si>
  <si>
    <t>Saldo (Recaudo RC - Pagos RC)</t>
  </si>
  <si>
    <t>Saldo 
(Aportes SFS RS- Pago SENASA)</t>
  </si>
  <si>
    <t>Feb.15</t>
  </si>
  <si>
    <r>
      <t xml:space="preserve">Incluye SFS RC y RS
</t>
    </r>
    <r>
      <rPr>
        <b/>
        <sz val="14"/>
        <color theme="1"/>
        <rFont val="Calibri"/>
        <family val="2"/>
        <scheme val="minor"/>
      </rPr>
      <t>Fuente:</t>
    </r>
    <r>
      <rPr>
        <sz val="14"/>
        <color theme="1"/>
        <rFont val="Calibri"/>
        <family val="2"/>
        <scheme val="minor"/>
      </rPr>
      <t xml:space="preserve"> Superintendencia de Salud y Riesgos Laborales (SISALRIL)</t>
    </r>
  </si>
  <si>
    <t>%Hombres</t>
  </si>
  <si>
    <r>
      <rPr>
        <b/>
        <sz val="11"/>
        <color theme="1"/>
        <rFont val="Calibri"/>
        <family val="2"/>
        <scheme val="minor"/>
      </rPr>
      <t>Fuente:</t>
    </r>
    <r>
      <rPr>
        <sz val="11"/>
        <color theme="1"/>
        <rFont val="Calibri"/>
        <family val="2"/>
        <scheme val="minor"/>
      </rPr>
      <t xml:space="preserve"> Portal SIRALRIL</t>
    </r>
  </si>
  <si>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</si>
  <si>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</si>
  <si>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</si>
  <si>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</si>
  <si>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rPr>
        <b/>
        <sz val="8"/>
        <color theme="1"/>
        <rFont val="Calibri"/>
        <family val="2"/>
        <scheme val="minor"/>
      </rPr>
      <t>Nota:</t>
    </r>
    <r>
      <rPr>
        <sz val="8"/>
        <color theme="1"/>
        <rFont val="Calibri"/>
        <family val="2"/>
        <scheme val="minor"/>
      </rPr>
      <t xml:space="preserve">  PEA: Banco Central, 2014.  </t>
    </r>
  </si>
  <si>
    <r>
      <rPr>
        <b/>
        <sz val="11"/>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</si>
  <si>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r>
      <rPr>
        <b/>
        <sz val="11"/>
        <color theme="1"/>
        <rFont val="Calibri"/>
        <family val="2"/>
        <scheme val="minor"/>
      </rPr>
      <t>Nota:</t>
    </r>
    <r>
      <rPr>
        <sz val="11"/>
        <color theme="1"/>
        <rFont val="Calibri"/>
        <family val="2"/>
        <scheme val="minor"/>
      </rPr>
      <t xml:space="preserve"> AFP León y AFP CARIBALICO fueron absorbidas por AFP Siembra en 2007.</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</si>
  <si>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</si>
  <si>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t xml:space="preserve">Fuente: </t>
    </r>
    <r>
      <rPr>
        <sz val="12"/>
        <color theme="1"/>
        <rFont val="Calibri"/>
        <family val="2"/>
        <scheme val="minor"/>
      </rPr>
      <t>Portal de la ARL</t>
    </r>
  </si>
  <si>
    <r>
      <t xml:space="preserve">Fuente: </t>
    </r>
    <r>
      <rPr>
        <sz val="14"/>
        <color theme="1"/>
        <rFont val="Calibri"/>
        <family val="2"/>
        <scheme val="minor"/>
      </rPr>
      <t>Portal SISALRIL, MEPYD</t>
    </r>
  </si>
  <si>
    <t xml:space="preserve"> Provincia</t>
  </si>
  <si>
    <t>AFP Popular</t>
  </si>
  <si>
    <t xml:space="preserve">Siembra </t>
  </si>
  <si>
    <t>% Provincia</t>
  </si>
  <si>
    <t>Juan Sánchez Ramírez</t>
  </si>
  <si>
    <t>Santiago</t>
  </si>
  <si>
    <t>Valverde Mao</t>
  </si>
  <si>
    <t>Sin Información</t>
  </si>
  <si>
    <t>Pagos SFSP</t>
  </si>
  <si>
    <t>Jul. 2010</t>
  </si>
  <si>
    <t xml:space="preserve">SENASA                   </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</si>
  <si>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</si>
  <si>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</si>
  <si>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</si>
  <si>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</si>
  <si>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 xml:space="preserve"> 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y el cierre del año 2014, se ha beneficiado a 106,068 parturientas, las cuales han recibido prestaciones económicas por Maternidad por un monto total ascendente a RD$ 4,013.3 millones, y 79,368 trabajadoras han percibido el subsidio por Lactancia por un monto total de RD$1,122.30 millones.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 diciembre de 2014 se han beneficiados 390,114 trabajadores, recibiendo beneficios económicos por un monto global de RD$ 867.37millones</t>
  </si>
  <si>
    <t>III.1.6 Afiliación al SFS por Sexo</t>
  </si>
  <si>
    <t>III.1.7 Comportamiento Real y Proyectado de la Cobertura del SFS a la Población Total</t>
  </si>
  <si>
    <t>III.1.2 Análisis de Afiliación del SFS</t>
  </si>
  <si>
    <t>II.2 Análisis de las Empresas del SDSS</t>
  </si>
  <si>
    <t>III.1.1 Definiciones del SFS</t>
  </si>
  <si>
    <t>III.3.1 Definiciones y Análisis de Afiliación del SFS del RS</t>
  </si>
  <si>
    <t>III.3.2 Afiliación Anual al SFS del Régimen Subsidiado (RS) por Tipo</t>
  </si>
  <si>
    <t>III.3.3 Afiliación Mensual al SFS del Régimen Subsidiado (RS) por Tipo</t>
  </si>
  <si>
    <t xml:space="preserve">III.3.5 Cobertura de Afiliación Mensual al SFS el Régimen Subsidiado (RS) por Tipo </t>
  </si>
  <si>
    <t xml:space="preserve">III.3.4 Cobertura de Afiliación Anual al SFS el Régimen Subsidiado (RS) por Tipo </t>
  </si>
  <si>
    <t>III.3.6 Afiliados al SFS el Régimen Subsidiado (RS) por Sexo y Tipo de Afiliación</t>
  </si>
  <si>
    <t>III.3.7 Comportamiento de la Afiliación al SFS del RS con Relación a la Población Pobre del País (MEPYD)</t>
  </si>
  <si>
    <t xml:space="preserve">III.4.1 Definiciones y Análisis del RET </t>
  </si>
  <si>
    <t>III.4.4 Cobertura Afiliación Mensual de Pensionados al SFS</t>
  </si>
  <si>
    <t>III.5 Estadísticas Afiliación al Seguro de Vejez, Discapacidad y Sobrevivencia (SVDS)</t>
  </si>
  <si>
    <t>III.5.2  Análisis de Afiliación del SVDS</t>
  </si>
  <si>
    <t>III.5.4  Afiliación Mensual al SVDS del RC</t>
  </si>
  <si>
    <t>III.5.11  Traspaso Totales por Año</t>
  </si>
  <si>
    <t>III.5.12 Traspasos Recibidos en Entidades de CCI y Reparto</t>
  </si>
  <si>
    <t>III.5.13 Traspaso Cedidos en Entidades de CCI y Reparto</t>
  </si>
  <si>
    <t>III.5.14 Traspaso Netos en Entidades de CCI y Reparto</t>
  </si>
  <si>
    <t>III.5.3 Cantidad de Afiliados y Cotizantes Anual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</si>
  <si>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</si>
  <si>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</si>
  <si>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</si>
  <si>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</si>
  <si>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III.5.10 Afiliados y Cotizantes del SVDS por Género</t>
  </si>
  <si>
    <t>III.5.15 Distribución de Afiliados de las AFP por Provincias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</si>
  <si>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</si>
  <si>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</si>
  <si>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</si>
  <si>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</si>
  <si>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</si>
  <si>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</si>
  <si>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</si>
  <si>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</si>
  <si>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</si>
  <si>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</si>
  <si>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</si>
  <si>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</si>
  <si>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</si>
  <si>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</si>
  <si>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  Análisis de Ingresos y Egresos por Seguros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</si>
  <si>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</si>
  <si>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</si>
  <si>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</si>
  <si>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</si>
  <si>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</si>
  <si>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</si>
  <si>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</si>
  <si>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</si>
  <si>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</si>
  <si>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IV.1 Ingreso y Egreso del SDSS</t>
  </si>
  <si>
    <t>IV.2 Ingreso y Egreso por Seguros</t>
  </si>
  <si>
    <t>IV.3  Ingreso y Egreso del SVDS</t>
  </si>
  <si>
    <t>IV.4  Ingreso y Egreso del  SRL</t>
  </si>
  <si>
    <t>V. 1.2 Análisis de las Estancias Infantiles</t>
  </si>
  <si>
    <t>V. 1.1  Definiciones EI</t>
  </si>
  <si>
    <t>V. 1.3 Niños Afiliados de las Estancias Infantiles del RC</t>
  </si>
  <si>
    <t>V.2.3 Afiliados Beneficiarios por Subsidios de Maternidad, Lactancia y Enfermedad Común</t>
  </si>
  <si>
    <t>V.3.2 Análisis de Subsidio de SVDS</t>
  </si>
  <si>
    <t>V.3.1  Definiciones Subsidios SVDS</t>
  </si>
  <si>
    <t>V.3.4 Monto de Pensión Promedio por Tipo de Discapacidad Según AFP</t>
  </si>
  <si>
    <t>V.3.5 Pensión Promedio de Sobrevivencia y Discapacidad (RD$) del SVDS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</si>
  <si>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</si>
  <si>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</si>
  <si>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</si>
  <si>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</si>
  <si>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</si>
  <si>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</si>
  <si>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</si>
  <si>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</si>
  <si>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</si>
  <si>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</si>
  <si>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</si>
  <si>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</si>
  <si>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</si>
  <si>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</si>
  <si>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</si>
  <si>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</si>
  <si>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</si>
  <si>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</si>
  <si>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</si>
  <si>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</si>
  <si>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</si>
  <si>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</si>
  <si>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</si>
  <si>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</si>
  <si>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VI.1 Análisis de CMNR</t>
  </si>
  <si>
    <t>VI.2  Solicitudes Recibidas en las Comisiones Médicas por Estatus</t>
  </si>
  <si>
    <t>II.1 Definiciones del SDSS</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</si>
  <si>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</si>
  <si>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</si>
  <si>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</si>
  <si>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</si>
  <si>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</si>
  <si>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</si>
  <si>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III.4 Afiliación del Régimen Especial Transitorio (RET) Salud de Pensionados. Ley 1896-379</t>
  </si>
  <si>
    <t>III.5.1  Definiciones del SVDS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</si>
  <si>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</si>
  <si>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</si>
  <si>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</si>
  <si>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</si>
  <si>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</si>
  <si>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</si>
  <si>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</si>
  <si>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IV.I.1  Definiciones Ingresos y Egresos del SDSS</t>
  </si>
  <si>
    <t>IV.2.11 Pagos Mensuales del SFSP por ARS</t>
  </si>
  <si>
    <t>IV.4.3 Pagos Mensuales por Cuentas al Seguro de Riesgo Laborales</t>
  </si>
  <si>
    <t>IV.4.2 Pagos Anuales al ARL por Cuentas</t>
  </si>
  <si>
    <t>IV.4.1  Análisis del SRL</t>
  </si>
  <si>
    <t>V. 1.4 Pagos a las Estancias Infantiles</t>
  </si>
  <si>
    <t>V.2.4 Montos Aprobados en Millones de RD$ por Concepto de Subsidios por Maternidad, Lactancia y Enfermedad Común</t>
  </si>
  <si>
    <t>V.4.25 Casos Aprobados en Proceso de Reinvestigación por Circunstancia del Suceso</t>
  </si>
  <si>
    <t>V.2.1  Definiciones Subsidios</t>
  </si>
  <si>
    <t>VIII.Definiciones y Logros del Sistema Dominicano de Seguridad Social</t>
  </si>
  <si>
    <t>VIII.1  Definiciones de Sistema Dominicano de Seguridad Social</t>
  </si>
  <si>
    <t>VIII.2 Logros del Sistema Dominicano de Seguridad Social</t>
  </si>
  <si>
    <t>Mar.15</t>
  </si>
  <si>
    <t>`</t>
  </si>
  <si>
    <r>
      <rPr>
        <b/>
        <sz val="14"/>
        <color theme="1"/>
        <rFont val="Calibri"/>
        <family val="2"/>
        <scheme val="minor"/>
      </rPr>
      <t xml:space="preserve">Fuente: </t>
    </r>
    <r>
      <rPr>
        <sz val="14"/>
        <color theme="1"/>
        <rFont val="Calibri"/>
        <family val="2"/>
        <scheme val="minor"/>
      </rPr>
      <t>Oficina Nacional de Estadísticas (ONE) y Superintendencia de Salud y Riesgos Laborables.</t>
    </r>
  </si>
  <si>
    <t>Serv. de Igualas Méd. Dr. Abel G.</t>
  </si>
  <si>
    <t>Mayor o igual a 60 años</t>
  </si>
  <si>
    <r>
      <rPr>
        <b/>
        <sz val="9"/>
        <color theme="1"/>
        <rFont val="Calibri"/>
        <family val="2"/>
        <scheme val="minor"/>
      </rPr>
      <t>Actividad Conexa:</t>
    </r>
    <r>
      <rPr>
        <sz val="9"/>
        <color theme="1"/>
        <rFont val="Calibri"/>
        <family val="2"/>
        <scheme val="minor"/>
      </rPr>
      <t xml:space="preserve">  está relacionada con la activdad productiva pero no representa beneficios directos para la empresa o para la actividad en sí</t>
    </r>
  </si>
  <si>
    <t>Accidentabilidad Afiliados
(No. de accidentes por cada 100,000 afiliados)</t>
  </si>
  <si>
    <t>Casos Calificados</t>
  </si>
  <si>
    <t>Abr.15</t>
  </si>
  <si>
    <t>Casos</t>
  </si>
  <si>
    <t>Letras hipotecarias</t>
  </si>
  <si>
    <t>Abr-15</t>
  </si>
  <si>
    <r>
      <t xml:space="preserve">Fuente: </t>
    </r>
    <r>
      <rPr>
        <sz val="16"/>
        <rFont val="Calibri"/>
        <family val="2"/>
        <scheme val="minor"/>
      </rPr>
      <t>Superintendencia de Salud y Riesgos Laborales (SISALRIL).</t>
    </r>
  </si>
  <si>
    <r>
      <rPr>
        <b/>
        <sz val="16"/>
        <rFont val="Calibri"/>
        <family val="2"/>
        <scheme val="minor"/>
      </rPr>
      <t>Fuente:</t>
    </r>
    <r>
      <rPr>
        <sz val="16"/>
        <rFont val="Calibri"/>
        <family val="2"/>
        <scheme val="minor"/>
      </rPr>
      <t xml:space="preserve"> Portal SISALRIL</t>
    </r>
  </si>
  <si>
    <t xml:space="preserve"> Cobertura de Afiliación RET</t>
  </si>
  <si>
    <t xml:space="preserve">Elías Piña </t>
  </si>
  <si>
    <r>
      <rPr>
        <b/>
        <sz val="20"/>
        <color theme="0"/>
        <rFont val="Calibri"/>
        <family val="2"/>
        <scheme val="minor"/>
      </rPr>
      <t>Seguro de Vejez, Discapacidad y Sobrevivencia (SVDS)
Distribución de Afiliados de las AFP por Provincia</t>
    </r>
    <r>
      <rPr>
        <b/>
        <sz val="14"/>
        <color theme="0"/>
        <rFont val="Calibri"/>
        <family val="2"/>
        <scheme val="minor"/>
      </rPr>
      <t xml:space="preserve">
</t>
    </r>
    <r>
      <rPr>
        <b/>
        <sz val="14"/>
        <color indexed="9"/>
        <rFont val="Calibri"/>
        <family val="2"/>
      </rPr>
      <t>Al 31 de  Marzo de 2015</t>
    </r>
  </si>
  <si>
    <r>
      <t xml:space="preserve">Fuente: </t>
    </r>
    <r>
      <rPr>
        <sz val="12"/>
        <rFont val="Calibri"/>
        <family val="2"/>
        <scheme val="minor"/>
      </rPr>
      <t>Boletín Sipen No.47</t>
    </r>
  </si>
  <si>
    <r>
      <rPr>
        <b/>
        <sz val="11"/>
        <color theme="1"/>
        <rFont val="Calibri"/>
        <family val="2"/>
        <scheme val="minor"/>
      </rPr>
      <t>Fuente:</t>
    </r>
    <r>
      <rPr>
        <sz val="11"/>
        <color theme="1"/>
        <rFont val="Calibri"/>
        <family val="2"/>
        <scheme val="minor"/>
      </rPr>
      <t xml:space="preserve"> Informes de la TSS</t>
    </r>
  </si>
  <si>
    <t>PIB Corriente
 RD$Millones)</t>
  </si>
  <si>
    <t>Estancias Infantiles (Pago cápitas/niños</t>
  </si>
  <si>
    <t xml:space="preserve">AEISS  (Pago nómina Res. CNSS 369-04)  </t>
  </si>
  <si>
    <t>May.15</t>
  </si>
  <si>
    <t xml:space="preserve">Trabajadores Cotizantes </t>
  </si>
  <si>
    <t>Patrimonio Fondos de Pensiones  (RD$ Millones)</t>
  </si>
  <si>
    <t>May. 09</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</si>
  <si>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</si>
  <si>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</si>
  <si>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</si>
  <si>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</si>
  <si>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</si>
  <si>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</si>
  <si>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</si>
  <si>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</si>
  <si>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Cobertura de Afiliación de Depend. Directosdel SFS RC</t>
  </si>
  <si>
    <r>
      <rPr>
        <b/>
        <sz val="12"/>
        <color theme="1"/>
        <rFont val="Calibri"/>
        <family val="2"/>
        <scheme val="minor"/>
      </rPr>
      <t>Nota:</t>
    </r>
    <r>
      <rPr>
        <sz val="12"/>
        <color theme="1"/>
        <rFont val="Calibri"/>
        <family val="2"/>
        <scheme val="minor"/>
      </rPr>
      <t xml:space="preserve">  La cantidad de niños estimada es calculada por la dispersión mensual entre el cápita asignado (este pago puede contener pagos retroactivos).</t>
    </r>
  </si>
  <si>
    <t>Instituto Dom. de Seguridad Social (IDSS)</t>
  </si>
  <si>
    <t>Jun.15</t>
  </si>
  <si>
    <t>Jun. 2015</t>
  </si>
  <si>
    <t xml:space="preserve"> Jun. 2015</t>
  </si>
  <si>
    <t>Jun.2015</t>
  </si>
  <si>
    <t>Índice de dependencia</t>
  </si>
  <si>
    <t>Índice de Dependencia</t>
  </si>
  <si>
    <r>
      <rPr>
        <b/>
        <sz val="12"/>
        <color theme="1"/>
        <rFont val="Calibri"/>
        <family val="2"/>
        <scheme val="minor"/>
      </rPr>
      <t>Fuente</t>
    </r>
    <r>
      <rPr>
        <sz val="12"/>
        <color theme="1"/>
        <rFont val="Calibri"/>
        <family val="2"/>
        <scheme val="minor"/>
      </rPr>
      <t>: Portal SISALRIL</t>
    </r>
  </si>
  <si>
    <t>Total Masculino</t>
  </si>
  <si>
    <t>III.5.9  Población Económicamente Activa Afiliada al SVDS por Género</t>
  </si>
  <si>
    <t>V.2.2 Análisis de Subsidio de Maternidad, Lactancia y Enfermedad Común</t>
  </si>
  <si>
    <t>VI.3 Apelaciones de Dictámenes de la CMNR</t>
  </si>
  <si>
    <t>VI.4 Apelaciones por Entidad Receptora y Origen</t>
  </si>
  <si>
    <t>Jun. 15</t>
  </si>
  <si>
    <t>Color</t>
  </si>
  <si>
    <t>Menos de 0.9%</t>
  </si>
  <si>
    <t>2.5%-4.3%</t>
  </si>
  <si>
    <t>1.2%-1.9%</t>
  </si>
  <si>
    <t>Mayor 11%</t>
  </si>
  <si>
    <t>Sep. 2007 - Junio  2015</t>
  </si>
  <si>
    <t>Ene. -Jun. 2015</t>
  </si>
  <si>
    <t>Total 
Sep.07 - Jun.2015</t>
  </si>
  <si>
    <t>No.</t>
  </si>
  <si>
    <t>Ene-Jun.2015</t>
  </si>
  <si>
    <t>Ene-Jun. 2015</t>
  </si>
  <si>
    <t>Ene - Jun. 2015</t>
  </si>
  <si>
    <t>Ene-Jun.15</t>
  </si>
  <si>
    <t>Cápita de Niños Beneficiados</t>
  </si>
  <si>
    <t>Ene- Jun.2015</t>
  </si>
  <si>
    <t>Ene- Jun. 2015</t>
  </si>
  <si>
    <r>
      <rPr>
        <b/>
        <sz val="14"/>
        <color theme="1"/>
        <rFont val="Calibri"/>
        <family val="2"/>
        <scheme val="minor"/>
      </rPr>
      <t>El Seguro de Vejez, Discapacidad y Sobrevivencia del Régimen Contributivo contempla las siguientes prestaciones:</t>
    </r>
    <r>
      <rPr>
        <sz val="14"/>
        <color theme="1"/>
        <rFont val="Calibri"/>
        <family val="2"/>
        <scheme val="minor"/>
      </rPr>
      <t xml:space="preserve">
 </t>
    </r>
    <r>
      <rPr>
        <b/>
        <sz val="14"/>
        <color theme="1"/>
        <rFont val="Calibri"/>
        <family val="2"/>
        <scheme val="minor"/>
      </rPr>
      <t xml:space="preserve">  a)</t>
    </r>
    <r>
      <rPr>
        <sz val="14"/>
        <color theme="1"/>
        <rFont val="Calibri"/>
        <family val="2"/>
        <scheme val="minor"/>
      </rPr>
      <t xml:space="preserve"> Pensión por Vejez 
   </t>
    </r>
    <r>
      <rPr>
        <b/>
        <sz val="14"/>
        <color theme="1"/>
        <rFont val="Calibri"/>
        <family val="2"/>
        <scheme val="minor"/>
      </rPr>
      <t>b)</t>
    </r>
    <r>
      <rPr>
        <sz val="14"/>
        <color theme="1"/>
        <rFont val="Calibri"/>
        <family val="2"/>
        <scheme val="minor"/>
      </rPr>
      <t xml:space="preserve"> Pensión por Discapacidad,  total y parcial
</t>
    </r>
    <r>
      <rPr>
        <b/>
        <sz val="14"/>
        <color theme="1"/>
        <rFont val="Calibri"/>
        <family val="2"/>
        <scheme val="minor"/>
      </rPr>
      <t xml:space="preserve">   c)</t>
    </r>
    <r>
      <rPr>
        <sz val="14"/>
        <color theme="1"/>
        <rFont val="Calibri"/>
        <family val="2"/>
        <scheme val="minor"/>
      </rPr>
      <t xml:space="preserve"> Pensión por cesantía por edad avanzada 
   </t>
    </r>
    <r>
      <rPr>
        <b/>
        <sz val="14"/>
        <color theme="1"/>
        <rFont val="Calibri"/>
        <family val="2"/>
        <scheme val="minor"/>
      </rPr>
      <t>d)</t>
    </r>
    <r>
      <rPr>
        <sz val="14"/>
        <color theme="1"/>
        <rFont val="Calibri"/>
        <family val="2"/>
        <scheme val="minor"/>
      </rPr>
      <t xml:space="preserve"> Pensión por Sobrevivencia
La evolución anual  del otorgamiento de las pensiones por Discapacidad y Sobrevivencia. Durante el año 2014, se otorgaron 1,005 pensiones por Discapacidad y 722 pensiones por Sobrevivencia y 7 por retiro programado (vejez) a afiliados de Ingreso Tardío.
Desde su inicio y hasta junio de 2015, el Sistema Previsional ha beneficiado un total de 9,650 pensiones, desglosadas de la siguiente manera:  4,599 por Discapacidad; 5,051 por Sobrevivencia y 21 por Retiro Programado (vejez), otorgadas estas últimas a personas de ingreso tardío. Las pensiones de sobrevivencia otorgadas benefician a 12,362 personas a junio 2015.
Al 30 de junio 2015, el monto promedio de pensión por sobrevivencia asciende a RD$ 10,740.76, mientras que el monto promedio de pensión por discapacidad asciende a RD$7,495.09.</t>
    </r>
    <r>
      <rPr>
        <sz val="13"/>
        <color theme="1"/>
        <rFont val="Calibri"/>
        <family val="2"/>
        <scheme val="minor"/>
      </rPr>
      <t xml:space="preserve">
</t>
    </r>
  </si>
  <si>
    <r>
      <t xml:space="preserve">Fuente: </t>
    </r>
    <r>
      <rPr>
        <sz val="14"/>
        <rFont val="Calibri"/>
        <family val="2"/>
        <scheme val="minor"/>
      </rPr>
      <t>Boletín de SIPEN No. 48</t>
    </r>
  </si>
  <si>
    <t>Fuente: Boletin No. 48 SIPEN</t>
  </si>
  <si>
    <t>Ene- Jun. 15</t>
  </si>
  <si>
    <t>Ene-Junio.2015</t>
  </si>
  <si>
    <t>Fuente: Boletín No.48 Sipen</t>
  </si>
  <si>
    <r>
      <rPr>
        <b/>
        <sz val="11"/>
        <color theme="1"/>
        <rFont val="Calibri"/>
        <family val="2"/>
        <scheme val="minor"/>
      </rPr>
      <t>Fuente:</t>
    </r>
    <r>
      <rPr>
        <sz val="11"/>
        <color theme="1"/>
        <rFont val="Calibri"/>
        <family val="2"/>
        <scheme val="minor"/>
      </rPr>
      <t xml:space="preserve"> Boletín No.48 Sipen</t>
    </r>
  </si>
  <si>
    <t>Pagos</t>
  </si>
  <si>
    <t>Retiro Programado</t>
  </si>
  <si>
    <t xml:space="preserve">&amp;#15;&amp;#12;&amp;#18;&amp;#14;&amp;#16; </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</si>
</sst>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0.00000_);_([$€-2]* \(#,##0.00000\);_([$€-2]* &quot;-&quot;??_)"/>
    <numFmt numFmtId="194" formatCode="#,##0.000"/>
    <numFmt numFmtId="195" formatCode="_([$€-2]\ * #,##0.0_);_([$€-2]\ * \(#,##0.0\);_([$€-2]\ * &quot;-&quot;??_);_(@_)"/>
    <numFmt numFmtId="196" formatCode="#,##0.000000_);[Red]\(#,##0.000000\)"/>
    <numFmt numFmtId="197" formatCode="_([$€-2]\ * #,##0.0000_);_([$€-2]\ * \(#,##0.0000\);_([$€-2]\ * &quot;-&quot;??_);_(@_)"/>
    <numFmt numFmtId="198" formatCode="&quot;$&quot;#,##0.00"/>
    <numFmt numFmtId="199" formatCode="0.00_);\(0.00\)"/>
  </numFmts>
  <fonts count="152">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56"/>
      <name val="Arial"/>
      <family val="2"/>
    </font>
    <font>
      <sz val="11"/>
      <color indexed="18"/>
      <name val="Arial"/>
      <family val="2"/>
    </font>
    <font>
      <b/>
      <sz val="22"/>
      <color indexed="8"/>
      <name val="Calibri"/>
      <family val="2"/>
    </font>
    <font>
      <b/>
      <sz val="14"/>
      <color indexed="9"/>
      <name val="Calibri"/>
      <family val="2"/>
    </font>
    <font>
      <b/>
      <sz val="11"/>
      <color indexed="56"/>
      <name val="Century Gothic"/>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sz val="10.5"/>
      <name val="Calibri"/>
      <family val="2"/>
      <scheme val="minor"/>
    </font>
    <font>
      <b/>
      <sz val="10.5"/>
      <name val="Calibri"/>
      <family val="2"/>
      <scheme val="minor"/>
    </font>
    <font>
      <sz val="15"/>
      <color rgb="FF000000"/>
      <name val="Calibri"/>
      <family val="2"/>
      <scheme val="minor"/>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10"/>
      <color indexed="56"/>
      <name val="Century Gothic"/>
      <family val="2"/>
    </font>
    <font>
      <sz val="22"/>
      <color theme="1"/>
      <name val="Calibri"/>
      <family val="2"/>
      <scheme val="minor"/>
    </font>
    <font>
      <sz val="22"/>
      <name val="Calibri"/>
      <family val="2"/>
      <scheme val="minor"/>
    </font>
    <font>
      <b/>
      <u/>
      <sz val="11"/>
      <color theme="1"/>
      <name val="Calibri"/>
      <family val="2"/>
      <scheme val="minor"/>
    </font>
    <font>
      <b/>
      <sz val="12"/>
      <color indexed="81"/>
      <name val="Tahoma"/>
      <family val="2"/>
    </font>
    <font>
      <sz val="12"/>
      <color indexed="81"/>
      <name val="Tahoma"/>
      <family val="2"/>
    </font>
    <font>
      <sz val="10"/>
      <name val="Arial"/>
      <family val="2"/>
    </font>
    <font>
      <b/>
      <sz val="14"/>
      <name val="Arial"/>
      <family val="2"/>
    </font>
    <font>
      <sz val="10"/>
      <name val="Arial"/>
      <family val="2"/>
    </font>
    <font>
      <sz val="11"/>
      <color theme="0" tint="-0.34998626667073579"/>
      <name val="Calibri"/>
      <family val="2"/>
      <scheme val="minor"/>
    </font>
    <font>
      <sz val="14"/>
      <color theme="0"/>
      <name val="Calibri"/>
      <family val="2"/>
      <scheme val="minor"/>
    </font>
    <font>
      <b/>
      <sz val="10"/>
      <color theme="0"/>
      <name val="Century Gothic"/>
      <family val="2"/>
    </font>
    <font>
      <sz val="10"/>
      <color theme="0"/>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theme="8" tint="-0.49998474074526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1106">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52" fillId="0" borderId="0" applyNumberFormat="0" applyFill="0" applyBorder="0" applyAlignment="0" applyProtection="0">
      <alignment vertical="top"/>
      <protection locked="0"/>
    </xf>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49" fillId="0" borderId="0" applyFont="0" applyFill="0" applyBorder="0" applyAlignment="0" applyProtection="0"/>
    <xf numFmtId="43" fontId="2" fillId="0" borderId="0" applyFont="0" applyFill="0" applyBorder="0" applyAlignment="0" applyProtection="0"/>
    <xf numFmtId="166" fontId="4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49" fillId="0" borderId="0"/>
    <xf numFmtId="174" fontId="2" fillId="0" borderId="0"/>
    <xf numFmtId="174" fontId="2" fillId="0" borderId="0"/>
    <xf numFmtId="174" fontId="49" fillId="0" borderId="0"/>
    <xf numFmtId="0" fontId="2" fillId="0" borderId="0"/>
    <xf numFmtId="182" fontId="49"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9" fillId="0" borderId="0"/>
    <xf numFmtId="174" fontId="35" fillId="0" borderId="0"/>
    <xf numFmtId="174" fontId="2" fillId="0" borderId="0"/>
    <xf numFmtId="0" fontId="2" fillId="0" borderId="0"/>
    <xf numFmtId="0" fontId="2" fillId="0" borderId="0"/>
    <xf numFmtId="174" fontId="49" fillId="0" borderId="0"/>
    <xf numFmtId="0" fontId="49" fillId="0" borderId="0"/>
    <xf numFmtId="174" fontId="49" fillId="0" borderId="0"/>
    <xf numFmtId="0" fontId="49" fillId="0" borderId="0"/>
    <xf numFmtId="174" fontId="49" fillId="0" borderId="0"/>
    <xf numFmtId="0" fontId="49" fillId="0" borderId="0"/>
    <xf numFmtId="174" fontId="49" fillId="0" borderId="0"/>
    <xf numFmtId="0" fontId="49" fillId="0" borderId="0"/>
    <xf numFmtId="174" fontId="49" fillId="0" borderId="0"/>
    <xf numFmtId="0" fontId="49" fillId="0" borderId="0"/>
    <xf numFmtId="0" fontId="49" fillId="0" borderId="0"/>
    <xf numFmtId="0" fontId="49" fillId="0" borderId="0"/>
    <xf numFmtId="0" fontId="49"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49" fillId="0" borderId="0"/>
    <xf numFmtId="182" fontId="49" fillId="0" borderId="0"/>
    <xf numFmtId="0" fontId="49" fillId="0" borderId="0"/>
    <xf numFmtId="182" fontId="49"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49"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4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49" fillId="0" borderId="0"/>
    <xf numFmtId="0" fontId="1" fillId="0" borderId="10" applyNumberFormat="0" applyFill="0" applyAlignment="0" applyProtection="0"/>
    <xf numFmtId="0" fontId="49" fillId="0" borderId="0"/>
    <xf numFmtId="165" fontId="2"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174" fontId="49" fillId="0" borderId="0"/>
    <xf numFmtId="174" fontId="2" fillId="0" borderId="0"/>
    <xf numFmtId="174" fontId="49" fillId="0" borderId="0"/>
    <xf numFmtId="0" fontId="49" fillId="0" borderId="0"/>
    <xf numFmtId="0" fontId="1" fillId="0" borderId="10" applyNumberFormat="0" applyFill="0" applyAlignment="0" applyProtection="0"/>
    <xf numFmtId="0" fontId="49" fillId="0" borderId="0"/>
    <xf numFmtId="0" fontId="49" fillId="0" borderId="0"/>
    <xf numFmtId="0" fontId="49" fillId="0" borderId="0"/>
    <xf numFmtId="43" fontId="2" fillId="0" borderId="0" applyFont="0" applyFill="0" applyBorder="0" applyAlignment="0" applyProtection="0"/>
    <xf numFmtId="0" fontId="2" fillId="0" borderId="0">
      <alignment wrapText="1"/>
    </xf>
    <xf numFmtId="0" fontId="2" fillId="0" borderId="0">
      <alignment wrapText="1"/>
    </xf>
    <xf numFmtId="0" fontId="49" fillId="0" borderId="0"/>
    <xf numFmtId="0" fontId="94" fillId="0" borderId="0">
      <alignment wrapText="1"/>
    </xf>
    <xf numFmtId="0" fontId="49" fillId="0" borderId="0"/>
    <xf numFmtId="0" fontId="49" fillId="0" borderId="0"/>
    <xf numFmtId="0" fontId="2" fillId="0" borderId="0">
      <alignment wrapText="1"/>
    </xf>
    <xf numFmtId="0" fontId="49" fillId="0" borderId="0"/>
    <xf numFmtId="0" fontId="49" fillId="0" borderId="0"/>
    <xf numFmtId="0" fontId="49" fillId="0" borderId="0"/>
    <xf numFmtId="0" fontId="102" fillId="0" borderId="0">
      <alignment wrapText="1"/>
    </xf>
    <xf numFmtId="0" fontId="102" fillId="0" borderId="0">
      <alignment wrapText="1"/>
    </xf>
    <xf numFmtId="0" fontId="102" fillId="0" borderId="0">
      <alignment wrapText="1"/>
    </xf>
    <xf numFmtId="0" fontId="102" fillId="0" borderId="0">
      <alignment wrapText="1"/>
    </xf>
    <xf numFmtId="0" fontId="102" fillId="0" borderId="0">
      <alignment wrapText="1"/>
    </xf>
    <xf numFmtId="0" fontId="102" fillId="0" borderId="0">
      <alignment wrapText="1"/>
    </xf>
    <xf numFmtId="0" fontId="102" fillId="0" borderId="0">
      <alignment wrapText="1"/>
    </xf>
    <xf numFmtId="0" fontId="102" fillId="0" borderId="0">
      <alignment wrapText="1"/>
    </xf>
    <xf numFmtId="0" fontId="49"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9" fillId="0" borderId="0"/>
    <xf numFmtId="174" fontId="49" fillId="0" borderId="0"/>
    <xf numFmtId="0"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43" fontId="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30" fillId="0" borderId="0"/>
    <xf numFmtId="0" fontId="30"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0" fontId="2" fillId="0" borderId="0"/>
    <xf numFmtId="0" fontId="49" fillId="0" borderId="0"/>
    <xf numFmtId="174"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0" fontId="49" fillId="0" borderId="0"/>
    <xf numFmtId="0" fontId="49" fillId="0" borderId="0"/>
    <xf numFmtId="0" fontId="4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9" fillId="0" borderId="0"/>
    <xf numFmtId="174" fontId="49" fillId="0" borderId="0"/>
    <xf numFmtId="174" fontId="49" fillId="0" borderId="0"/>
    <xf numFmtId="174" fontId="49" fillId="0" borderId="0"/>
    <xf numFmtId="0" fontId="2" fillId="0" borderId="0"/>
    <xf numFmtId="0" fontId="2" fillId="0" borderId="0">
      <alignment wrapText="1"/>
    </xf>
    <xf numFmtId="0" fontId="49" fillId="0" borderId="0"/>
    <xf numFmtId="0" fontId="2" fillId="0" borderId="0">
      <alignment wrapText="1"/>
    </xf>
    <xf numFmtId="0" fontId="30" fillId="0" borderId="0"/>
    <xf numFmtId="0" fontId="2" fillId="0" borderId="0"/>
    <xf numFmtId="0" fontId="30" fillId="0" borderId="0"/>
    <xf numFmtId="0" fontId="49" fillId="0" borderId="0"/>
    <xf numFmtId="0" fontId="49" fillId="0" borderId="0"/>
    <xf numFmtId="0" fontId="49" fillId="0" borderId="0"/>
    <xf numFmtId="0" fontId="2" fillId="0" borderId="0"/>
    <xf numFmtId="0" fontId="30" fillId="0" borderId="0"/>
    <xf numFmtId="0" fontId="30"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7" fillId="0" borderId="0"/>
    <xf numFmtId="0" fontId="128" fillId="0" borderId="0"/>
    <xf numFmtId="178" fontId="128" fillId="0" borderId="0" applyFont="0" applyFill="0" applyBorder="0" applyAlignment="0" applyProtection="0"/>
    <xf numFmtId="9" fontId="128" fillId="0" borderId="0" applyFont="0" applyFill="0" applyBorder="0" applyAlignment="0" applyProtection="0"/>
    <xf numFmtId="0" fontId="49" fillId="0" borderId="0"/>
    <xf numFmtId="0" fontId="49" fillId="0" borderId="0"/>
    <xf numFmtId="182" fontId="49" fillId="0" borderId="0"/>
    <xf numFmtId="0" fontId="130"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31" fillId="0" borderId="0">
      <alignment wrapText="1"/>
    </xf>
    <xf numFmtId="0" fontId="2" fillId="0" borderId="0"/>
    <xf numFmtId="0" fontId="145" fillId="0" borderId="0"/>
    <xf numFmtId="0" fontId="2" fillId="0" borderId="0">
      <alignment wrapText="1"/>
    </xf>
    <xf numFmtId="0" fontId="147" fillId="0" borderId="0"/>
  </cellStyleXfs>
  <cellXfs count="2026">
    <xf numFmtId="174" fontId="0" fillId="0" borderId="0" xfId="0"/>
    <xf numFmtId="174" fontId="49" fillId="0" borderId="0" xfId="389" applyFont="1"/>
    <xf numFmtId="10" fontId="55" fillId="0" borderId="0" xfId="389" applyNumberFormat="1" applyFont="1"/>
    <xf numFmtId="10" fontId="54" fillId="0" borderId="0" xfId="389" applyNumberFormat="1" applyFont="1"/>
    <xf numFmtId="10" fontId="49" fillId="0" borderId="0" xfId="389" applyNumberFormat="1" applyFont="1"/>
    <xf numFmtId="174" fontId="49" fillId="0" borderId="0" xfId="389" applyFont="1" applyFill="1" applyBorder="1"/>
    <xf numFmtId="171" fontId="49" fillId="0" borderId="0" xfId="389" applyNumberFormat="1" applyFont="1"/>
    <xf numFmtId="174" fontId="49" fillId="0" borderId="0" xfId="389" applyNumberFormat="1" applyFont="1"/>
    <xf numFmtId="10" fontId="49" fillId="0" borderId="0" xfId="389" applyNumberFormat="1" applyFont="1" applyBorder="1"/>
    <xf numFmtId="174" fontId="49" fillId="0" borderId="0" xfId="389" applyFont="1" applyBorder="1"/>
    <xf numFmtId="4" fontId="29" fillId="0" borderId="11" xfId="399" applyNumberFormat="1" applyFont="1" applyFill="1" applyBorder="1" applyAlignment="1">
      <alignment horizontal="right" vertical="justify" wrapText="1"/>
    </xf>
    <xf numFmtId="4" fontId="29" fillId="0" borderId="12" xfId="399" applyNumberFormat="1" applyFont="1" applyFill="1" applyBorder="1" applyAlignment="1">
      <alignment horizontal="right" vertical="justify" wrapText="1"/>
    </xf>
    <xf numFmtId="174" fontId="56" fillId="0" borderId="0" xfId="348" applyFont="1"/>
    <xf numFmtId="167" fontId="6" fillId="0" borderId="0" xfId="337" applyNumberFormat="1" applyFont="1" applyFill="1" applyBorder="1"/>
    <xf numFmtId="167" fontId="6" fillId="0" borderId="0" xfId="337" applyNumberFormat="1" applyFont="1" applyFill="1" applyBorder="1" applyAlignment="1">
      <alignment horizontal="right"/>
    </xf>
    <xf numFmtId="43" fontId="6" fillId="0" borderId="0" xfId="337" applyFont="1" applyFill="1" applyBorder="1"/>
    <xf numFmtId="167" fontId="0" fillId="0" borderId="0" xfId="0" applyNumberFormat="1"/>
    <xf numFmtId="174" fontId="55"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7" fillId="0" borderId="0" xfId="0" applyFont="1" applyFill="1" applyBorder="1" applyAlignment="1">
      <alignment horizontal="center" wrapText="1"/>
    </xf>
    <xf numFmtId="174" fontId="0" fillId="0" borderId="0" xfId="0" applyBorder="1"/>
    <xf numFmtId="43" fontId="0" fillId="0" borderId="0" xfId="0" applyNumberFormat="1"/>
    <xf numFmtId="3" fontId="58" fillId="0" borderId="0" xfId="0" applyNumberFormat="1" applyFont="1" applyFill="1" applyBorder="1" applyAlignment="1" applyProtection="1"/>
    <xf numFmtId="1" fontId="0" fillId="0" borderId="0" xfId="0" applyNumberFormat="1" applyFill="1"/>
    <xf numFmtId="1" fontId="58" fillId="0" borderId="0" xfId="0" applyNumberFormat="1" applyFont="1" applyFill="1" applyBorder="1" applyAlignment="1" applyProtection="1"/>
    <xf numFmtId="1" fontId="0" fillId="0" borderId="0" xfId="0" applyNumberFormat="1"/>
    <xf numFmtId="4" fontId="0" fillId="0" borderId="0" xfId="0" applyNumberFormat="1"/>
    <xf numFmtId="174" fontId="58" fillId="0" borderId="0" xfId="0" applyNumberFormat="1" applyFont="1" applyFill="1"/>
    <xf numFmtId="174" fontId="60" fillId="0" borderId="0" xfId="0" applyNumberFormat="1" applyFont="1"/>
    <xf numFmtId="174" fontId="0" fillId="0" borderId="0" xfId="0" applyNumberFormat="1" applyBorder="1" applyAlignment="1">
      <alignment horizontal="left"/>
    </xf>
    <xf numFmtId="174" fontId="61" fillId="0" borderId="0" xfId="0" applyNumberFormat="1" applyFont="1" applyBorder="1" applyAlignment="1">
      <alignment horizontal="left"/>
    </xf>
    <xf numFmtId="168" fontId="0" fillId="0" borderId="0" xfId="0" applyNumberFormat="1" applyBorder="1" applyAlignment="1">
      <alignment horizontal="left"/>
    </xf>
    <xf numFmtId="43" fontId="62"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4" fillId="0" borderId="0" xfId="329" applyFont="1"/>
    <xf numFmtId="43" fontId="34" fillId="0" borderId="0" xfId="329"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43" fontId="49" fillId="0" borderId="0" xfId="324" applyFont="1"/>
    <xf numFmtId="174" fontId="58" fillId="0" borderId="0" xfId="0" applyFont="1"/>
    <xf numFmtId="10" fontId="49" fillId="0" borderId="0" xfId="552" applyNumberFormat="1" applyFont="1"/>
    <xf numFmtId="167" fontId="49" fillId="0" borderId="0" xfId="324" applyNumberFormat="1" applyFont="1"/>
    <xf numFmtId="174" fontId="54" fillId="0" borderId="0" xfId="0" applyFont="1"/>
    <xf numFmtId="174" fontId="66" fillId="0" borderId="0" xfId="0" applyNumberFormat="1" applyFont="1" applyAlignment="1">
      <alignment horizontal="left" wrapText="1"/>
    </xf>
    <xf numFmtId="174" fontId="53" fillId="0" borderId="0" xfId="0" applyNumberFormat="1" applyFont="1" applyFill="1" applyBorder="1"/>
    <xf numFmtId="174" fontId="53" fillId="0" borderId="0" xfId="0" applyFont="1" applyFill="1" applyBorder="1"/>
    <xf numFmtId="174" fontId="50" fillId="0" borderId="0" xfId="0" applyFont="1"/>
    <xf numFmtId="174" fontId="50" fillId="0" borderId="0" xfId="0" applyFont="1" applyFill="1" applyBorder="1"/>
    <xf numFmtId="43" fontId="50" fillId="0" borderId="0" xfId="0" applyNumberFormat="1" applyFont="1" applyFill="1" applyBorder="1"/>
    <xf numFmtId="174" fontId="50" fillId="0" borderId="0" xfId="0" applyFont="1" applyFill="1" applyBorder="1" applyAlignment="1"/>
    <xf numFmtId="174" fontId="0" fillId="0" borderId="0" xfId="0" applyFill="1" applyBorder="1" applyAlignment="1"/>
    <xf numFmtId="173" fontId="49" fillId="0" borderId="0" xfId="324" applyNumberFormat="1" applyFont="1" applyFill="1"/>
    <xf numFmtId="43" fontId="49" fillId="0" borderId="0" xfId="324" applyFont="1" applyFill="1"/>
    <xf numFmtId="174" fontId="58" fillId="0" borderId="0" xfId="0" applyNumberFormat="1" applyFont="1" applyFill="1" applyBorder="1" applyAlignment="1" applyProtection="1"/>
    <xf numFmtId="3" fontId="67" fillId="0" borderId="0" xfId="0" applyNumberFormat="1" applyFont="1" applyFill="1" applyBorder="1" applyAlignment="1" applyProtection="1"/>
    <xf numFmtId="3" fontId="58" fillId="0" borderId="13" xfId="0" applyNumberFormat="1" applyFont="1" applyFill="1" applyBorder="1" applyAlignment="1" applyProtection="1"/>
    <xf numFmtId="167" fontId="54" fillId="26" borderId="13" xfId="0" applyNumberFormat="1" applyFont="1" applyFill="1" applyBorder="1"/>
    <xf numFmtId="43" fontId="49" fillId="0" borderId="0" xfId="324" applyFont="1" applyBorder="1"/>
    <xf numFmtId="174" fontId="70" fillId="0" borderId="0" xfId="0" applyFont="1" applyBorder="1" applyAlignment="1">
      <alignment vertical="top" wrapText="1"/>
    </xf>
    <xf numFmtId="174" fontId="70" fillId="0" borderId="0" xfId="0" applyFont="1" applyBorder="1" applyAlignment="1">
      <alignment vertical="top"/>
    </xf>
    <xf numFmtId="174" fontId="56" fillId="0" borderId="0" xfId="348"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66" fillId="27" borderId="0" xfId="0" applyFont="1" applyFill="1"/>
    <xf numFmtId="174" fontId="0" fillId="27" borderId="0" xfId="0" applyFill="1" applyBorder="1"/>
    <xf numFmtId="43" fontId="0" fillId="27" borderId="0" xfId="0" applyNumberFormat="1" applyFill="1" applyBorder="1"/>
    <xf numFmtId="174" fontId="49" fillId="0" borderId="0" xfId="443" applyFont="1"/>
    <xf numFmtId="174" fontId="0" fillId="0" borderId="0" xfId="0"/>
    <xf numFmtId="174" fontId="0" fillId="0" borderId="0" xfId="0" applyNumberFormat="1" applyBorder="1" applyAlignment="1">
      <alignment horizontal="right"/>
    </xf>
    <xf numFmtId="174" fontId="60" fillId="0" borderId="0" xfId="0" applyNumberFormat="1" applyFont="1" applyBorder="1"/>
    <xf numFmtId="43" fontId="34" fillId="0" borderId="0" xfId="329" applyFont="1" applyBorder="1"/>
    <xf numFmtId="174" fontId="58" fillId="0" borderId="0" xfId="0" applyFont="1" applyBorder="1"/>
    <xf numFmtId="174" fontId="53" fillId="0" borderId="0" xfId="0" applyFont="1" applyBorder="1"/>
    <xf numFmtId="174" fontId="49" fillId="0" borderId="0" xfId="447" applyFont="1"/>
    <xf numFmtId="174" fontId="49" fillId="0" borderId="0" xfId="447" applyFont="1" applyAlignment="1"/>
    <xf numFmtId="173" fontId="3" fillId="0" borderId="0" xfId="324" applyNumberFormat="1" applyFont="1" applyBorder="1"/>
    <xf numFmtId="174" fontId="49" fillId="0" borderId="0" xfId="447" applyFont="1" applyBorder="1"/>
    <xf numFmtId="174" fontId="49" fillId="0" borderId="0" xfId="451" applyFont="1"/>
    <xf numFmtId="43" fontId="49" fillId="0" borderId="0" xfId="324" applyFont="1" applyFill="1" applyBorder="1"/>
    <xf numFmtId="172" fontId="0" fillId="0" borderId="0" xfId="0" applyNumberFormat="1" applyFill="1" applyBorder="1"/>
    <xf numFmtId="9" fontId="66" fillId="0" borderId="0" xfId="0" applyNumberFormat="1" applyFont="1"/>
    <xf numFmtId="172" fontId="66" fillId="0" borderId="0" xfId="0" applyNumberFormat="1" applyFont="1" applyFill="1" applyBorder="1" applyAlignment="1">
      <alignment horizontal="left" indent="1"/>
    </xf>
    <xf numFmtId="171" fontId="0" fillId="0" borderId="0" xfId="0" applyNumberFormat="1"/>
    <xf numFmtId="49" fontId="31" fillId="0" borderId="0" xfId="362"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8" fillId="27" borderId="0" xfId="0" applyFont="1" applyFill="1" applyBorder="1"/>
    <xf numFmtId="43" fontId="58" fillId="27" borderId="0" xfId="0" applyNumberFormat="1" applyFont="1" applyFill="1" applyBorder="1"/>
    <xf numFmtId="43" fontId="58" fillId="27" borderId="0" xfId="0" applyNumberFormat="1" applyFont="1" applyFill="1"/>
    <xf numFmtId="174" fontId="0" fillId="27" borderId="0" xfId="0" applyNumberFormat="1" applyFill="1"/>
    <xf numFmtId="3" fontId="56" fillId="0" borderId="13" xfId="0" applyNumberFormat="1" applyFont="1" applyFill="1" applyBorder="1" applyAlignment="1" applyProtection="1"/>
    <xf numFmtId="43" fontId="54" fillId="26" borderId="13" xfId="0" applyNumberFormat="1" applyFont="1" applyFill="1" applyBorder="1" applyAlignment="1">
      <alignment horizontal="center" vertical="center" wrapText="1"/>
    </xf>
    <xf numFmtId="43" fontId="54" fillId="26" borderId="13" xfId="0" applyNumberFormat="1" applyFont="1" applyFill="1" applyBorder="1" applyAlignment="1">
      <alignment horizontal="center"/>
    </xf>
    <xf numFmtId="10" fontId="70" fillId="0" borderId="0" xfId="0" applyNumberFormat="1" applyFont="1" applyBorder="1" applyAlignment="1">
      <alignment vertical="top" wrapText="1"/>
    </xf>
    <xf numFmtId="167" fontId="70" fillId="0" borderId="0" xfId="324" applyNumberFormat="1" applyFont="1" applyBorder="1" applyAlignment="1">
      <alignment vertical="top" wrapText="1"/>
    </xf>
    <xf numFmtId="3" fontId="0" fillId="0" borderId="0" xfId="0" applyNumberFormat="1"/>
    <xf numFmtId="174" fontId="49" fillId="0" borderId="0" xfId="451" applyFont="1" applyBorder="1"/>
    <xf numFmtId="174" fontId="49" fillId="0" borderId="0" xfId="451" applyFont="1" applyBorder="1" applyAlignment="1"/>
    <xf numFmtId="174" fontId="64" fillId="0" borderId="0" xfId="0" applyNumberFormat="1" applyFont="1" applyBorder="1"/>
    <xf numFmtId="174" fontId="0" fillId="0" borderId="0" xfId="0" applyNumberFormat="1" applyFont="1"/>
    <xf numFmtId="43" fontId="64" fillId="27" borderId="0" xfId="0" applyNumberFormat="1" applyFont="1" applyFill="1"/>
    <xf numFmtId="174" fontId="75" fillId="27" borderId="0" xfId="0" applyFont="1" applyFill="1" applyBorder="1" applyAlignment="1">
      <alignment vertical="center" wrapText="1"/>
    </xf>
    <xf numFmtId="167" fontId="78" fillId="0" borderId="0" xfId="324" applyNumberFormat="1" applyFont="1"/>
    <xf numFmtId="3" fontId="39" fillId="24" borderId="0" xfId="0" applyNumberFormat="1" applyFont="1" applyFill="1" applyBorder="1" applyAlignment="1">
      <alignment horizontal="center"/>
    </xf>
    <xf numFmtId="3" fontId="40" fillId="24" borderId="0" xfId="0" applyNumberFormat="1" applyFont="1" applyFill="1" applyBorder="1" applyAlignment="1">
      <alignment horizontal="center"/>
    </xf>
    <xf numFmtId="174" fontId="0" fillId="0" borderId="0" xfId="0" applyNumberFormat="1" applyFill="1" applyBorder="1"/>
    <xf numFmtId="3" fontId="40" fillId="0" borderId="0" xfId="0" applyNumberFormat="1" applyFont="1" applyFill="1" applyBorder="1" applyAlignment="1">
      <alignment horizontal="center"/>
    </xf>
    <xf numFmtId="174" fontId="80" fillId="0" borderId="0" xfId="0" applyFont="1"/>
    <xf numFmtId="174" fontId="49" fillId="0" borderId="0" xfId="392" applyFont="1"/>
    <xf numFmtId="174" fontId="81" fillId="0" borderId="0" xfId="392" applyFont="1" applyAlignment="1">
      <alignment horizontal="center"/>
    </xf>
    <xf numFmtId="43" fontId="49" fillId="0" borderId="0" xfId="392" applyNumberFormat="1" applyFont="1"/>
    <xf numFmtId="43" fontId="49" fillId="0" borderId="0" xfId="443" applyNumberFormat="1" applyFont="1"/>
    <xf numFmtId="43" fontId="64" fillId="0" borderId="0" xfId="0" applyNumberFormat="1" applyFont="1" applyFill="1" applyBorder="1" applyAlignment="1">
      <alignment horizontal="left"/>
    </xf>
    <xf numFmtId="2" fontId="0" fillId="0" borderId="0" xfId="0" applyNumberFormat="1"/>
    <xf numFmtId="174" fontId="82" fillId="30" borderId="0" xfId="0" applyFont="1" applyFill="1" applyBorder="1" applyAlignment="1">
      <alignment horizontal="center" vertical="top" wrapText="1"/>
    </xf>
    <xf numFmtId="10" fontId="49" fillId="0" borderId="0" xfId="447" applyNumberFormat="1" applyFont="1"/>
    <xf numFmtId="167" fontId="56" fillId="27" borderId="0" xfId="395" applyNumberFormat="1" applyFont="1" applyFill="1" applyBorder="1" applyAlignment="1">
      <alignment horizontal="center" vertical="center"/>
    </xf>
    <xf numFmtId="43" fontId="58" fillId="0" borderId="0" xfId="0" applyNumberFormat="1" applyFont="1" applyBorder="1"/>
    <xf numFmtId="174" fontId="66" fillId="0" borderId="0" xfId="0" applyFont="1" applyBorder="1" applyAlignment="1">
      <alignment vertical="top"/>
    </xf>
    <xf numFmtId="17" fontId="43" fillId="0" borderId="0" xfId="0" applyNumberFormat="1" applyFont="1" applyFill="1" applyBorder="1" applyAlignment="1">
      <alignment horizontal="center"/>
    </xf>
    <xf numFmtId="174" fontId="58" fillId="27" borderId="0" xfId="0" applyNumberFormat="1" applyFont="1" applyFill="1" applyBorder="1"/>
    <xf numFmtId="49" fontId="44" fillId="0" borderId="0" xfId="362" applyNumberFormat="1" applyFont="1" applyFill="1" applyBorder="1" applyAlignment="1">
      <alignment vertical="center" wrapText="1"/>
    </xf>
    <xf numFmtId="174" fontId="82" fillId="30" borderId="0" xfId="0" applyFont="1" applyFill="1" applyBorder="1" applyAlignment="1">
      <alignment horizontal="center" vertical="center" wrapText="1"/>
    </xf>
    <xf numFmtId="167" fontId="56" fillId="32" borderId="0" xfId="395" applyNumberFormat="1" applyFont="1" applyFill="1" applyBorder="1" applyAlignment="1">
      <alignment horizontal="center" vertical="center"/>
    </xf>
    <xf numFmtId="3" fontId="87" fillId="0" borderId="0" xfId="0" applyNumberFormat="1" applyFont="1" applyFill="1" applyBorder="1" applyAlignment="1">
      <alignment horizontal="center"/>
    </xf>
    <xf numFmtId="174" fontId="58" fillId="0" borderId="0" xfId="0" applyNumberFormat="1" applyFont="1" applyBorder="1"/>
    <xf numFmtId="43" fontId="71" fillId="26" borderId="13" xfId="0" applyNumberFormat="1" applyFont="1" applyFill="1" applyBorder="1" applyAlignment="1">
      <alignment horizontal="center" vertical="center" wrapText="1"/>
    </xf>
    <xf numFmtId="3" fontId="56" fillId="27" borderId="13" xfId="0" applyNumberFormat="1" applyFont="1" applyFill="1" applyBorder="1" applyAlignment="1" applyProtection="1"/>
    <xf numFmtId="10" fontId="0" fillId="27" borderId="0" xfId="0" applyNumberFormat="1" applyFill="1"/>
    <xf numFmtId="179" fontId="56" fillId="27" borderId="13" xfId="0" applyNumberFormat="1" applyFont="1" applyFill="1" applyBorder="1" applyAlignment="1" applyProtection="1"/>
    <xf numFmtId="174" fontId="0" fillId="0" borderId="0" xfId="0" applyAlignment="1">
      <alignment vertical="center"/>
    </xf>
    <xf numFmtId="174" fontId="64" fillId="0" borderId="0" xfId="0" applyFont="1"/>
    <xf numFmtId="174" fontId="77" fillId="0" borderId="0" xfId="0" applyNumberFormat="1" applyFont="1" applyBorder="1" applyAlignment="1">
      <alignment vertical="top" wrapText="1"/>
    </xf>
    <xf numFmtId="10" fontId="58" fillId="0" borderId="0" xfId="0" applyNumberFormat="1" applyFont="1" applyFill="1" applyBorder="1" applyAlignment="1" applyProtection="1"/>
    <xf numFmtId="43" fontId="71" fillId="26" borderId="13" xfId="0" applyNumberFormat="1" applyFont="1" applyFill="1" applyBorder="1" applyAlignment="1">
      <alignment horizontal="center"/>
    </xf>
    <xf numFmtId="0" fontId="58" fillId="0" borderId="0" xfId="0" applyNumberFormat="1" applyFont="1" applyFill="1" applyBorder="1" applyAlignment="1" applyProtection="1"/>
    <xf numFmtId="174" fontId="56" fillId="0" borderId="0" xfId="0" applyNumberFormat="1" applyFont="1" applyFill="1" applyBorder="1" applyAlignment="1" applyProtection="1"/>
    <xf numFmtId="180" fontId="0" fillId="0" borderId="0" xfId="0" applyNumberFormat="1" applyFill="1" applyBorder="1"/>
    <xf numFmtId="174" fontId="83" fillId="0" borderId="0" xfId="0" applyFont="1"/>
    <xf numFmtId="174" fontId="83" fillId="0" borderId="0" xfId="0" applyFont="1" applyAlignment="1">
      <alignment horizontal="left" vertical="center"/>
    </xf>
    <xf numFmtId="174" fontId="72" fillId="36" borderId="0" xfId="0" applyFont="1" applyFill="1" applyBorder="1" applyAlignment="1">
      <alignment vertical="center" wrapText="1"/>
    </xf>
    <xf numFmtId="183" fontId="0" fillId="0" borderId="0" xfId="0" applyNumberFormat="1"/>
    <xf numFmtId="49" fontId="64" fillId="0" borderId="0" xfId="0" applyNumberFormat="1" applyFont="1"/>
    <xf numFmtId="3" fontId="56" fillId="0" borderId="0" xfId="0" applyNumberFormat="1" applyFont="1" applyFill="1" applyBorder="1" applyAlignment="1" applyProtection="1"/>
    <xf numFmtId="174" fontId="83" fillId="0" borderId="0" xfId="0" applyNumberFormat="1" applyFont="1" applyBorder="1"/>
    <xf numFmtId="43" fontId="0" fillId="0" borderId="0" xfId="0" applyNumberFormat="1" applyFont="1" applyBorder="1" applyAlignment="1">
      <alignment horizontal="left"/>
    </xf>
    <xf numFmtId="10" fontId="49" fillId="0" borderId="0" xfId="552" applyNumberFormat="1" applyFont="1" applyBorder="1"/>
    <xf numFmtId="174" fontId="83"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5"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64" fillId="0" borderId="0" xfId="324" applyNumberFormat="1" applyFont="1" applyFill="1" applyBorder="1" applyAlignment="1">
      <alignment horizontal="center"/>
    </xf>
    <xf numFmtId="174" fontId="0" fillId="0" borderId="0" xfId="0" applyFill="1" applyBorder="1" applyAlignment="1">
      <alignment wrapText="1"/>
    </xf>
    <xf numFmtId="10" fontId="0" fillId="0" borderId="0" xfId="552" applyNumberFormat="1" applyFont="1"/>
    <xf numFmtId="174" fontId="51" fillId="0" borderId="0" xfId="0" applyFont="1"/>
    <xf numFmtId="9" fontId="0" fillId="0" borderId="0" xfId="552" applyFont="1" applyFill="1" applyBorder="1"/>
    <xf numFmtId="10" fontId="0" fillId="0" borderId="0" xfId="552" applyNumberFormat="1" applyFont="1" applyFill="1" applyBorder="1"/>
    <xf numFmtId="9" fontId="0" fillId="0" borderId="0" xfId="552" applyNumberFormat="1" applyFont="1" applyFill="1" applyBorder="1"/>
    <xf numFmtId="9" fontId="0" fillId="27" borderId="0" xfId="552" applyFont="1" applyFill="1"/>
    <xf numFmtId="10" fontId="0" fillId="0" borderId="0" xfId="552" applyNumberFormat="1" applyFont="1" applyBorder="1"/>
    <xf numFmtId="174" fontId="0" fillId="0" borderId="0" xfId="0" applyBorder="1" applyAlignment="1">
      <alignment vertical="center"/>
    </xf>
    <xf numFmtId="0" fontId="76" fillId="0" borderId="0" xfId="580" applyFont="1" applyAlignment="1">
      <alignment vertical="center"/>
    </xf>
    <xf numFmtId="0" fontId="49" fillId="0" borderId="0" xfId="580"/>
    <xf numFmtId="43" fontId="49" fillId="0" borderId="0" xfId="580" applyNumberFormat="1"/>
    <xf numFmtId="43" fontId="0" fillId="0" borderId="0" xfId="324" applyFont="1"/>
    <xf numFmtId="174" fontId="64" fillId="0" borderId="0" xfId="0" applyFont="1" applyBorder="1" applyAlignment="1">
      <alignment horizontal="left" vertical="top"/>
    </xf>
    <xf numFmtId="174" fontId="0" fillId="0" borderId="0" xfId="0" applyFont="1" applyBorder="1"/>
    <xf numFmtId="3" fontId="56" fillId="0" borderId="0" xfId="326" applyNumberFormat="1" applyFont="1" applyFill="1" applyBorder="1"/>
    <xf numFmtId="17" fontId="93" fillId="0" borderId="0" xfId="0" applyNumberFormat="1" applyFont="1" applyFill="1" applyBorder="1" applyAlignment="1">
      <alignment horizontal="center"/>
    </xf>
    <xf numFmtId="176" fontId="49" fillId="0" borderId="0" xfId="552" applyNumberFormat="1" applyFont="1"/>
    <xf numFmtId="171" fontId="0" fillId="0" borderId="0" xfId="552" applyNumberFormat="1" applyFont="1"/>
    <xf numFmtId="10" fontId="93" fillId="0" borderId="0" xfId="552" applyNumberFormat="1" applyFont="1" applyFill="1" applyBorder="1" applyAlignment="1">
      <alignment horizontal="center"/>
    </xf>
    <xf numFmtId="174" fontId="92" fillId="27" borderId="0" xfId="0" applyFont="1" applyFill="1" applyBorder="1" applyAlignment="1">
      <alignment horizontal="center" vertical="top" wrapText="1"/>
    </xf>
    <xf numFmtId="49" fontId="55" fillId="0" borderId="0" xfId="0" applyNumberFormat="1" applyFont="1" applyFill="1" applyBorder="1" applyAlignment="1">
      <alignment horizontal="center" vertical="center" wrapText="1"/>
    </xf>
    <xf numFmtId="174" fontId="85" fillId="0" borderId="0" xfId="0" applyFont="1" applyFill="1" applyBorder="1" applyAlignment="1">
      <alignment horizontal="center" vertical="center" wrapText="1"/>
    </xf>
    <xf numFmtId="174" fontId="72" fillId="0" borderId="0" xfId="0" applyFont="1" applyFill="1" applyBorder="1" applyAlignment="1">
      <alignment vertical="center" wrapText="1"/>
    </xf>
    <xf numFmtId="174" fontId="89" fillId="0" borderId="0" xfId="0" applyFont="1" applyFill="1" applyBorder="1" applyAlignment="1">
      <alignment horizontal="center" vertical="center" wrapText="1"/>
    </xf>
    <xf numFmtId="174" fontId="74" fillId="0" borderId="0" xfId="0" applyFont="1" applyFill="1" applyBorder="1" applyAlignment="1">
      <alignment horizontal="center" vertical="center" wrapText="1"/>
    </xf>
    <xf numFmtId="174" fontId="0" fillId="27" borderId="0" xfId="0" applyFill="1" applyAlignment="1"/>
    <xf numFmtId="174" fontId="85" fillId="28" borderId="0" xfId="0" applyFont="1" applyFill="1" applyBorder="1" applyAlignment="1">
      <alignment horizontal="center" vertical="center" wrapText="1"/>
    </xf>
    <xf numFmtId="174" fontId="0" fillId="32" borderId="0" xfId="0" applyFill="1"/>
    <xf numFmtId="174" fontId="99" fillId="0" borderId="0" xfId="0" applyFont="1"/>
    <xf numFmtId="174" fontId="0" fillId="0" borderId="0" xfId="0" applyBorder="1" applyAlignment="1"/>
    <xf numFmtId="40" fontId="54" fillId="0" borderId="0" xfId="389" applyNumberFormat="1" applyFont="1"/>
    <xf numFmtId="174" fontId="53" fillId="0" borderId="0" xfId="0" applyFont="1"/>
    <xf numFmtId="174" fontId="0" fillId="0" borderId="0" xfId="0" applyFill="1" applyBorder="1" applyAlignment="1">
      <alignment horizontal="center"/>
    </xf>
    <xf numFmtId="174" fontId="82" fillId="0" borderId="0" xfId="0" applyFont="1" applyFill="1" applyBorder="1" applyAlignment="1">
      <alignment horizontal="center" vertical="center" wrapText="1"/>
    </xf>
    <xf numFmtId="43" fontId="34" fillId="0" borderId="0" xfId="329" applyFont="1" applyFill="1" applyBorder="1" applyAlignment="1">
      <alignment horizontal="right"/>
    </xf>
    <xf numFmtId="43" fontId="34" fillId="0" borderId="0" xfId="329" applyFont="1" applyFill="1" applyBorder="1"/>
    <xf numFmtId="0" fontId="69" fillId="0" borderId="0" xfId="0" applyNumberFormat="1" applyFont="1" applyFill="1" applyBorder="1" applyAlignment="1">
      <alignment horizontal="center" vertical="center" wrapText="1"/>
    </xf>
    <xf numFmtId="0" fontId="69" fillId="0" borderId="0" xfId="0" applyNumberFormat="1" applyFont="1" applyFill="1" applyBorder="1" applyAlignment="1">
      <alignment horizontal="center" vertical="center"/>
    </xf>
    <xf numFmtId="49" fontId="71" fillId="0" borderId="0" xfId="0" applyNumberFormat="1" applyFont="1" applyFill="1" applyBorder="1" applyAlignment="1">
      <alignment horizontal="center" vertical="center" wrapText="1"/>
    </xf>
    <xf numFmtId="174" fontId="0" fillId="0" borderId="0" xfId="451" applyFont="1"/>
    <xf numFmtId="3" fontId="100" fillId="24" borderId="0" xfId="0" applyNumberFormat="1" applyFont="1" applyFill="1" applyBorder="1" applyAlignment="1">
      <alignment horizontal="center"/>
    </xf>
    <xf numFmtId="43" fontId="0" fillId="0" borderId="0" xfId="0" applyNumberFormat="1" applyBorder="1" applyAlignment="1">
      <alignment horizontal="left" indent="1"/>
    </xf>
    <xf numFmtId="43" fontId="71"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2" applyNumberFormat="1" applyFont="1" applyBorder="1" applyAlignment="1">
      <alignment vertical="center"/>
    </xf>
    <xf numFmtId="171" fontId="0" fillId="0" borderId="0" xfId="552" applyNumberFormat="1" applyFont="1" applyBorder="1"/>
    <xf numFmtId="49" fontId="55" fillId="31" borderId="0" xfId="0" applyNumberFormat="1" applyFont="1" applyFill="1" applyBorder="1" applyAlignment="1">
      <alignment horizontal="center" vertical="center" wrapText="1"/>
    </xf>
    <xf numFmtId="174" fontId="55" fillId="0" borderId="0" xfId="0" applyNumberFormat="1" applyFont="1" applyAlignment="1">
      <alignment horizontal="center"/>
    </xf>
    <xf numFmtId="43" fontId="0" fillId="0" borderId="0" xfId="0" applyNumberFormat="1" applyAlignment="1">
      <alignment vertical="center"/>
    </xf>
    <xf numFmtId="0" fontId="103" fillId="0" borderId="0" xfId="627" applyFont="1"/>
    <xf numFmtId="171" fontId="103" fillId="0" borderId="0" xfId="627" applyNumberFormat="1" applyFont="1"/>
    <xf numFmtId="171" fontId="0" fillId="0" borderId="0" xfId="552" applyNumberFormat="1" applyFont="1" applyFill="1" applyBorder="1"/>
    <xf numFmtId="174" fontId="0" fillId="0" borderId="13" xfId="0" applyBorder="1"/>
    <xf numFmtId="9" fontId="0" fillId="0" borderId="0" xfId="552" applyFont="1"/>
    <xf numFmtId="9" fontId="0" fillId="0" borderId="0" xfId="552" applyNumberFormat="1" applyFont="1"/>
    <xf numFmtId="10" fontId="0" fillId="36" borderId="0" xfId="0" applyNumberFormat="1" applyFill="1" applyBorder="1" applyAlignment="1">
      <alignment horizontal="right"/>
    </xf>
    <xf numFmtId="174" fontId="64" fillId="0" borderId="0" xfId="0" applyFont="1" applyAlignment="1">
      <alignment vertical="center"/>
    </xf>
    <xf numFmtId="174" fontId="71" fillId="0" borderId="0" xfId="0" applyFont="1"/>
    <xf numFmtId="174" fontId="51" fillId="0" borderId="0" xfId="0" applyFont="1" applyFill="1" applyBorder="1" applyAlignment="1">
      <alignment horizontal="center" vertical="center" wrapText="1"/>
    </xf>
    <xf numFmtId="174" fontId="0" fillId="0" borderId="0" xfId="0" applyNumberFormat="1" applyFont="1" applyBorder="1"/>
    <xf numFmtId="49" fontId="71" fillId="31" borderId="0" xfId="0" applyNumberFormat="1" applyFont="1" applyFill="1" applyBorder="1" applyAlignment="1">
      <alignment horizontal="center" vertical="center" wrapText="1"/>
    </xf>
    <xf numFmtId="171" fontId="64" fillId="0" borderId="0" xfId="324" applyNumberFormat="1" applyFont="1" applyBorder="1" applyAlignment="1">
      <alignment horizontal="right"/>
    </xf>
    <xf numFmtId="171" fontId="71" fillId="31" borderId="0" xfId="0" applyNumberFormat="1" applyFont="1" applyFill="1" applyBorder="1"/>
    <xf numFmtId="0" fontId="0" fillId="0" borderId="0" xfId="580" applyFont="1"/>
    <xf numFmtId="43" fontId="113" fillId="0" borderId="13" xfId="608" applyFont="1" applyFill="1" applyBorder="1" applyAlignment="1">
      <alignment horizontal="right"/>
    </xf>
    <xf numFmtId="49" fontId="111" fillId="25" borderId="13" xfId="0" applyNumberFormat="1" applyFont="1" applyFill="1" applyBorder="1" applyAlignment="1">
      <alignment horizontal="center" vertical="center" wrapText="1"/>
    </xf>
    <xf numFmtId="174" fontId="114" fillId="25" borderId="13" xfId="0" applyFont="1" applyFill="1" applyBorder="1" applyAlignment="1">
      <alignment horizontal="center" vertical="center" wrapText="1"/>
    </xf>
    <xf numFmtId="181" fontId="114" fillId="25" borderId="13" xfId="0" applyNumberFormat="1" applyFont="1" applyFill="1" applyBorder="1" applyAlignment="1">
      <alignment horizontal="center" vertical="center" wrapText="1"/>
    </xf>
    <xf numFmtId="49" fontId="111" fillId="25" borderId="15" xfId="0" applyNumberFormat="1" applyFont="1" applyFill="1" applyBorder="1" applyAlignment="1">
      <alignment horizontal="center" vertical="center" wrapText="1"/>
    </xf>
    <xf numFmtId="174" fontId="114" fillId="25" borderId="13" xfId="0" applyFont="1" applyFill="1" applyBorder="1" applyAlignment="1">
      <alignment horizontal="left" vertical="center" wrapText="1"/>
    </xf>
    <xf numFmtId="181" fontId="114" fillId="25" borderId="13" xfId="0" applyNumberFormat="1" applyFont="1" applyFill="1" applyBorder="1" applyAlignment="1">
      <alignment horizontal="left" vertical="center" wrapText="1"/>
    </xf>
    <xf numFmtId="174" fontId="110" fillId="0" borderId="0" xfId="0" applyFont="1" applyBorder="1" applyAlignment="1">
      <alignment horizontal="center" vertical="center"/>
    </xf>
    <xf numFmtId="43" fontId="113" fillId="35" borderId="13" xfId="608" applyFont="1" applyFill="1" applyBorder="1" applyAlignment="1">
      <alignment horizontal="center" vertical="center"/>
    </xf>
    <xf numFmtId="49" fontId="111" fillId="35" borderId="13" xfId="0" applyNumberFormat="1" applyFont="1" applyFill="1" applyBorder="1" applyAlignment="1">
      <alignment horizontal="center" vertical="center" wrapText="1"/>
    </xf>
    <xf numFmtId="174" fontId="112" fillId="34" borderId="0" xfId="0" applyFont="1" applyFill="1" applyBorder="1" applyAlignment="1">
      <alignment vertical="center"/>
    </xf>
    <xf numFmtId="3" fontId="67" fillId="0" borderId="13" xfId="0" applyNumberFormat="1" applyFont="1" applyFill="1" applyBorder="1" applyAlignment="1" applyProtection="1"/>
    <xf numFmtId="174" fontId="64" fillId="0" borderId="0" xfId="389" applyNumberFormat="1" applyFont="1"/>
    <xf numFmtId="10" fontId="0" fillId="0" borderId="0" xfId="552" applyNumberFormat="1" applyFont="1" applyAlignment="1">
      <alignment horizontal="center"/>
    </xf>
    <xf numFmtId="174" fontId="117" fillId="0" borderId="0" xfId="0" applyFont="1"/>
    <xf numFmtId="3" fontId="67" fillId="0" borderId="0" xfId="337" applyNumberFormat="1" applyFont="1" applyFill="1" applyBorder="1" applyAlignment="1"/>
    <xf numFmtId="10" fontId="67" fillId="0" borderId="0" xfId="329" applyNumberFormat="1" applyFont="1" applyFill="1" applyBorder="1" applyAlignment="1">
      <alignment horizontal="center" vertical="center" wrapText="1"/>
    </xf>
    <xf numFmtId="43" fontId="67" fillId="0" borderId="0" xfId="337" applyNumberFormat="1" applyFont="1" applyFill="1" applyBorder="1" applyAlignment="1">
      <alignment horizontal="right"/>
    </xf>
    <xf numFmtId="3" fontId="76" fillId="0" borderId="0" xfId="0" applyNumberFormat="1" applyFont="1" applyFill="1" applyBorder="1"/>
    <xf numFmtId="10" fontId="89" fillId="0" borderId="0" xfId="329" applyNumberFormat="1" applyFont="1" applyFill="1" applyBorder="1" applyAlignment="1">
      <alignment horizontal="center" vertical="center" wrapText="1"/>
    </xf>
    <xf numFmtId="174" fontId="76" fillId="0" borderId="0" xfId="0" applyNumberFormat="1" applyFont="1" applyFill="1" applyBorder="1" applyAlignment="1">
      <alignment horizontal="center" vertical="center" wrapText="1"/>
    </xf>
    <xf numFmtId="174" fontId="89" fillId="0" borderId="0" xfId="0" applyNumberFormat="1" applyFont="1" applyFill="1" applyBorder="1" applyAlignment="1">
      <alignment horizontal="center" vertical="center" wrapText="1"/>
    </xf>
    <xf numFmtId="174" fontId="0" fillId="0" borderId="0" xfId="0" applyAlignment="1">
      <alignment horizontal="center"/>
    </xf>
    <xf numFmtId="3" fontId="86" fillId="0" borderId="0" xfId="389" applyNumberFormat="1" applyFont="1" applyFill="1" applyBorder="1" applyAlignment="1">
      <alignment horizontal="center"/>
    </xf>
    <xf numFmtId="177" fontId="58" fillId="0" borderId="0" xfId="389" applyNumberFormat="1" applyFont="1"/>
    <xf numFmtId="171" fontId="0" fillId="27" borderId="0" xfId="552"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2" applyNumberFormat="1" applyFont="1" applyFill="1" applyAlignment="1"/>
    <xf numFmtId="2" fontId="0" fillId="27" borderId="0" xfId="552" applyNumberFormat="1" applyFont="1" applyFill="1"/>
    <xf numFmtId="9" fontId="0" fillId="27" borderId="0" xfId="552" applyFont="1" applyFill="1" applyAlignment="1"/>
    <xf numFmtId="188" fontId="0" fillId="27" borderId="0" xfId="0" applyNumberFormat="1" applyFill="1"/>
    <xf numFmtId="188" fontId="0" fillId="27" borderId="0" xfId="0" applyNumberFormat="1" applyFill="1" applyBorder="1"/>
    <xf numFmtId="174" fontId="66" fillId="27" borderId="0" xfId="0" applyFont="1" applyFill="1" applyBorder="1"/>
    <xf numFmtId="174" fontId="0" fillId="0" borderId="0" xfId="0" applyAlignment="1">
      <alignment horizontal="center"/>
    </xf>
    <xf numFmtId="3" fontId="86" fillId="27" borderId="0" xfId="329" applyNumberFormat="1" applyFont="1" applyFill="1" applyBorder="1" applyAlignment="1">
      <alignment horizontal="right" vertical="center"/>
    </xf>
    <xf numFmtId="3" fontId="86" fillId="27" borderId="0" xfId="329" applyNumberFormat="1" applyFont="1" applyFill="1" applyBorder="1" applyAlignment="1">
      <alignment vertical="center"/>
    </xf>
    <xf numFmtId="174" fontId="56" fillId="27" borderId="0" xfId="0" applyNumberFormat="1" applyFont="1" applyFill="1" applyBorder="1" applyAlignment="1">
      <alignment horizontal="center" vertical="center" wrapText="1"/>
    </xf>
    <xf numFmtId="3" fontId="56" fillId="0" borderId="0" xfId="326" applyNumberFormat="1" applyFont="1" applyFill="1" applyBorder="1" applyAlignment="1">
      <alignment vertical="center"/>
    </xf>
    <xf numFmtId="3" fontId="56" fillId="27" borderId="0" xfId="326" applyNumberFormat="1" applyFont="1" applyFill="1" applyBorder="1" applyAlignment="1">
      <alignment horizontal="center" vertical="center"/>
    </xf>
    <xf numFmtId="3" fontId="56" fillId="27" borderId="0" xfId="326" applyNumberFormat="1" applyFont="1" applyFill="1" applyBorder="1" applyAlignment="1">
      <alignment horizontal="center" vertical="center" wrapText="1"/>
    </xf>
    <xf numFmtId="3" fontId="98" fillId="27" borderId="0" xfId="326" applyNumberFormat="1" applyFont="1" applyFill="1" applyBorder="1" applyAlignment="1">
      <alignment horizontal="right" wrapText="1"/>
    </xf>
    <xf numFmtId="3" fontId="98" fillId="27" borderId="0" xfId="326" applyNumberFormat="1" applyFont="1" applyFill="1" applyBorder="1" applyAlignment="1">
      <alignment horizontal="right"/>
    </xf>
    <xf numFmtId="3" fontId="98" fillId="27" borderId="0" xfId="326" applyNumberFormat="1" applyFont="1" applyFill="1" applyBorder="1" applyAlignment="1">
      <alignment horizontal="right" vertical="center" wrapText="1"/>
    </xf>
    <xf numFmtId="49" fontId="98" fillId="27" borderId="0" xfId="0" applyNumberFormat="1" applyFont="1" applyFill="1" applyBorder="1" applyAlignment="1">
      <alignment horizontal="center" vertical="center"/>
    </xf>
    <xf numFmtId="3" fontId="98" fillId="27" borderId="0" xfId="0" applyNumberFormat="1" applyFont="1" applyFill="1" applyBorder="1" applyAlignment="1">
      <alignment horizontal="right"/>
    </xf>
    <xf numFmtId="10" fontId="98" fillId="27" borderId="0" xfId="0" applyNumberFormat="1" applyFont="1" applyFill="1" applyBorder="1" applyAlignment="1">
      <alignment horizontal="right"/>
    </xf>
    <xf numFmtId="3" fontId="84" fillId="27" borderId="0" xfId="0" applyNumberFormat="1" applyFont="1" applyFill="1" applyBorder="1" applyAlignment="1">
      <alignment horizontal="center"/>
    </xf>
    <xf numFmtId="171" fontId="58" fillId="27" borderId="0" xfId="389" applyNumberFormat="1" applyFont="1" applyFill="1" applyBorder="1"/>
    <xf numFmtId="171" fontId="58" fillId="27" borderId="0" xfId="0" applyNumberFormat="1" applyFont="1" applyFill="1" applyBorder="1"/>
    <xf numFmtId="38" fontId="86" fillId="27" borderId="0" xfId="0" applyNumberFormat="1" applyFont="1" applyFill="1" applyBorder="1"/>
    <xf numFmtId="180" fontId="0" fillId="0" borderId="0" xfId="0" applyNumberFormat="1"/>
    <xf numFmtId="171" fontId="56" fillId="27" borderId="0" xfId="0" applyNumberFormat="1" applyFont="1" applyFill="1" applyBorder="1"/>
    <xf numFmtId="3" fontId="86" fillId="0" borderId="0" xfId="0" applyNumberFormat="1" applyFont="1" applyFill="1" applyBorder="1" applyAlignment="1" applyProtection="1">
      <alignment horizontal="center"/>
    </xf>
    <xf numFmtId="3" fontId="86" fillId="27" borderId="0" xfId="0" applyNumberFormat="1" applyFont="1" applyFill="1" applyBorder="1" applyAlignment="1" applyProtection="1">
      <alignment horizontal="center"/>
    </xf>
    <xf numFmtId="167" fontId="56" fillId="27" borderId="0" xfId="324" applyNumberFormat="1" applyFont="1" applyFill="1" applyBorder="1"/>
    <xf numFmtId="174" fontId="49" fillId="0" borderId="0" xfId="634" applyFont="1"/>
    <xf numFmtId="174" fontId="49" fillId="0" borderId="0" xfId="634" applyFont="1" applyBorder="1"/>
    <xf numFmtId="9" fontId="49" fillId="0" borderId="0" xfId="552" applyFont="1" applyBorder="1"/>
    <xf numFmtId="174" fontId="49" fillId="0" borderId="0" xfId="637" applyBorder="1"/>
    <xf numFmtId="174" fontId="49" fillId="0" borderId="0" xfId="634" applyFont="1" applyBorder="1" applyAlignment="1"/>
    <xf numFmtId="174" fontId="49" fillId="0" borderId="0" xfId="637"/>
    <xf numFmtId="174" fontId="92" fillId="0" borderId="0" xfId="0" applyFont="1" applyFill="1" applyBorder="1" applyAlignment="1">
      <alignment horizontal="center" vertical="top" wrapText="1"/>
    </xf>
    <xf numFmtId="174" fontId="92"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8" fillId="27" borderId="0" xfId="0" applyNumberFormat="1" applyFont="1" applyFill="1" applyBorder="1" applyAlignment="1" applyProtection="1">
      <alignment vertical="center"/>
    </xf>
    <xf numFmtId="2" fontId="58" fillId="27" borderId="0" xfId="0" applyNumberFormat="1" applyFont="1" applyFill="1" applyBorder="1" applyAlignment="1" applyProtection="1">
      <alignment vertical="center"/>
    </xf>
    <xf numFmtId="186" fontId="0" fillId="27" borderId="0" xfId="0" applyNumberFormat="1" applyFill="1" applyAlignment="1">
      <alignment vertical="center"/>
    </xf>
    <xf numFmtId="187" fontId="0" fillId="27" borderId="0" xfId="0" applyNumberFormat="1" applyFill="1" applyAlignment="1">
      <alignment vertical="center"/>
    </xf>
    <xf numFmtId="2" fontId="0" fillId="27" borderId="0" xfId="0" applyNumberFormat="1" applyFill="1" applyAlignment="1">
      <alignment vertical="center"/>
    </xf>
    <xf numFmtId="171" fontId="0" fillId="27" borderId="0" xfId="552" applyNumberFormat="1" applyFont="1" applyFill="1" applyAlignment="1">
      <alignment vertical="center"/>
    </xf>
    <xf numFmtId="174" fontId="0" fillId="27" borderId="0" xfId="0" applyFill="1" applyAlignment="1">
      <alignment vertical="center"/>
    </xf>
    <xf numFmtId="9" fontId="0" fillId="27" borderId="0" xfId="552" applyFont="1" applyFill="1" applyAlignment="1">
      <alignment vertical="center"/>
    </xf>
    <xf numFmtId="49" fontId="85" fillId="0" borderId="13" xfId="0" applyNumberFormat="1" applyFont="1" applyFill="1" applyBorder="1" applyAlignment="1">
      <alignment horizontal="center" vertical="center" wrapText="1"/>
    </xf>
    <xf numFmtId="49" fontId="85" fillId="0" borderId="19" xfId="0" applyNumberFormat="1" applyFont="1" applyFill="1" applyBorder="1" applyAlignment="1" applyProtection="1">
      <alignment horizontal="center" vertical="center"/>
    </xf>
    <xf numFmtId="174" fontId="85" fillId="0" borderId="13" xfId="0" applyNumberFormat="1" applyFont="1" applyFill="1" applyBorder="1" applyAlignment="1" applyProtection="1">
      <alignment horizontal="center" vertical="center" wrapText="1"/>
    </xf>
    <xf numFmtId="174" fontId="88" fillId="0" borderId="23" xfId="0" applyNumberFormat="1" applyFont="1" applyFill="1" applyBorder="1" applyAlignment="1">
      <alignment horizontal="center" vertical="center" wrapText="1"/>
    </xf>
    <xf numFmtId="174" fontId="88" fillId="0" borderId="16" xfId="0" applyNumberFormat="1" applyFont="1" applyFill="1" applyBorder="1" applyAlignment="1">
      <alignment horizontal="center" vertical="center" wrapText="1"/>
    </xf>
    <xf numFmtId="174" fontId="88" fillId="0" borderId="13" xfId="0" applyNumberFormat="1" applyFont="1" applyFill="1" applyBorder="1" applyAlignment="1">
      <alignment horizontal="center" vertical="center" wrapText="1"/>
    </xf>
    <xf numFmtId="49" fontId="88" fillId="0" borderId="19" xfId="0" applyNumberFormat="1" applyFont="1" applyFill="1" applyBorder="1" applyAlignment="1">
      <alignment horizontal="center" vertical="center"/>
    </xf>
    <xf numFmtId="10" fontId="88" fillId="0" borderId="0" xfId="329" applyNumberFormat="1" applyFont="1" applyFill="1" applyBorder="1" applyAlignment="1">
      <alignment vertical="center" wrapText="1"/>
    </xf>
    <xf numFmtId="171" fontId="88" fillId="0" borderId="0" xfId="329" applyNumberFormat="1" applyFont="1" applyFill="1" applyBorder="1" applyAlignment="1">
      <alignment vertical="center" wrapText="1"/>
    </xf>
    <xf numFmtId="43" fontId="88" fillId="0" borderId="24" xfId="337" applyNumberFormat="1" applyFont="1" applyFill="1" applyBorder="1" applyAlignment="1"/>
    <xf numFmtId="3" fontId="67" fillId="0" borderId="0" xfId="329" applyNumberFormat="1" applyFont="1" applyFill="1" applyBorder="1" applyAlignment="1">
      <alignment vertical="center" wrapText="1"/>
    </xf>
    <xf numFmtId="3" fontId="67" fillId="0" borderId="0" xfId="329" applyNumberFormat="1" applyFont="1" applyBorder="1" applyAlignment="1"/>
    <xf numFmtId="43" fontId="67" fillId="0" borderId="0" xfId="337" applyNumberFormat="1" applyFont="1" applyFill="1" applyBorder="1" applyAlignment="1"/>
    <xf numFmtId="3" fontId="76" fillId="0" borderId="19" xfId="0" applyNumberFormat="1" applyFont="1" applyFill="1" applyBorder="1" applyAlignment="1"/>
    <xf numFmtId="174" fontId="56" fillId="27" borderId="0" xfId="0" applyNumberFormat="1" applyFont="1" applyFill="1" applyBorder="1" applyAlignment="1">
      <alignment horizontal="center" vertical="center"/>
    </xf>
    <xf numFmtId="174" fontId="88" fillId="0" borderId="23" xfId="0" applyNumberFormat="1" applyFont="1" applyFill="1" applyBorder="1" applyAlignment="1">
      <alignment horizontal="center" vertical="center"/>
    </xf>
    <xf numFmtId="174" fontId="118" fillId="0" borderId="0" xfId="0" applyFont="1" applyFill="1" applyBorder="1" applyAlignment="1">
      <alignment horizontal="center" vertical="center" wrapText="1"/>
    </xf>
    <xf numFmtId="174" fontId="85" fillId="0" borderId="23" xfId="389" applyNumberFormat="1" applyFont="1" applyFill="1" applyBorder="1" applyAlignment="1">
      <alignment horizontal="center" vertical="center" wrapText="1"/>
    </xf>
    <xf numFmtId="174" fontId="85" fillId="0" borderId="16" xfId="389" applyNumberFormat="1" applyFont="1" applyFill="1" applyBorder="1" applyAlignment="1">
      <alignment horizontal="center" wrapText="1"/>
    </xf>
    <xf numFmtId="174" fontId="85" fillId="0" borderId="13" xfId="389" applyNumberFormat="1" applyFont="1" applyFill="1" applyBorder="1" applyAlignment="1">
      <alignment horizontal="center" vertical="center"/>
    </xf>
    <xf numFmtId="174" fontId="72" fillId="27" borderId="23" xfId="0" applyNumberFormat="1" applyFont="1" applyFill="1" applyBorder="1" applyAlignment="1">
      <alignment horizontal="center" vertical="center" wrapText="1"/>
    </xf>
    <xf numFmtId="174" fontId="72" fillId="27" borderId="16" xfId="0" applyNumberFormat="1" applyFont="1" applyFill="1" applyBorder="1" applyAlignment="1">
      <alignment horizontal="center" vertical="center" wrapText="1"/>
    </xf>
    <xf numFmtId="174" fontId="72" fillId="27" borderId="15" xfId="0" applyNumberFormat="1" applyFont="1" applyFill="1" applyBorder="1" applyAlignment="1">
      <alignment horizontal="center" vertical="center" wrapText="1"/>
    </xf>
    <xf numFmtId="2" fontId="85" fillId="27" borderId="24" xfId="329" applyNumberFormat="1" applyFont="1" applyFill="1" applyBorder="1" applyAlignment="1">
      <alignment horizontal="right" vertical="center"/>
    </xf>
    <xf numFmtId="43" fontId="85" fillId="27" borderId="23" xfId="395" applyNumberFormat="1" applyFont="1" applyFill="1" applyBorder="1" applyAlignment="1">
      <alignment horizontal="center" vertical="center" wrapText="1"/>
    </xf>
    <xf numFmtId="43" fontId="85" fillId="27" borderId="13" xfId="395" applyNumberFormat="1" applyFont="1" applyFill="1" applyBorder="1" applyAlignment="1">
      <alignment horizontal="center" vertical="center"/>
    </xf>
    <xf numFmtId="174" fontId="72" fillId="27" borderId="23" xfId="389" applyNumberFormat="1" applyFont="1" applyFill="1" applyBorder="1" applyAlignment="1">
      <alignment horizontal="center" vertical="center" wrapText="1"/>
    </xf>
    <xf numFmtId="174" fontId="72" fillId="27" borderId="16" xfId="389" applyNumberFormat="1" applyFont="1" applyFill="1" applyBorder="1" applyAlignment="1">
      <alignment horizontal="center" vertical="center" wrapText="1"/>
    </xf>
    <xf numFmtId="174" fontId="72" fillId="27" borderId="13" xfId="389" applyNumberFormat="1" applyFont="1" applyFill="1" applyBorder="1" applyAlignment="1">
      <alignment horizontal="center" vertical="center"/>
    </xf>
    <xf numFmtId="0" fontId="72" fillId="27" borderId="19" xfId="389" applyNumberFormat="1" applyFont="1" applyFill="1" applyBorder="1" applyAlignment="1">
      <alignment horizontal="center" vertical="center"/>
    </xf>
    <xf numFmtId="174" fontId="85" fillId="0" borderId="13" xfId="337" applyNumberFormat="1" applyFont="1" applyFill="1" applyBorder="1" applyAlignment="1">
      <alignment horizontal="center" vertical="center" wrapText="1"/>
    </xf>
    <xf numFmtId="167" fontId="85" fillId="0" borderId="23" xfId="337" applyNumberFormat="1" applyFont="1" applyFill="1" applyBorder="1" applyAlignment="1">
      <alignment horizontal="center" vertical="center" wrapText="1"/>
    </xf>
    <xf numFmtId="167" fontId="85" fillId="0" borderId="16" xfId="337" applyNumberFormat="1" applyFont="1" applyFill="1" applyBorder="1" applyAlignment="1">
      <alignment horizontal="center" vertical="center" wrapText="1"/>
    </xf>
    <xf numFmtId="17" fontId="123" fillId="0" borderId="0" xfId="0" applyNumberFormat="1" applyFont="1" applyFill="1" applyBorder="1" applyAlignment="1"/>
    <xf numFmtId="174" fontId="67" fillId="27" borderId="0" xfId="0" applyNumberFormat="1" applyFont="1" applyFill="1" applyBorder="1" applyAlignment="1"/>
    <xf numFmtId="174" fontId="77" fillId="0" borderId="0" xfId="0" applyFont="1" applyAlignment="1"/>
    <xf numFmtId="167" fontId="88" fillId="27" borderId="16" xfId="339" applyNumberFormat="1" applyFont="1" applyFill="1" applyBorder="1" applyAlignment="1">
      <alignment horizontal="center" vertical="center" wrapText="1"/>
    </xf>
    <xf numFmtId="167" fontId="88" fillId="27" borderId="23" xfId="339" applyNumberFormat="1" applyFont="1" applyFill="1" applyBorder="1" applyAlignment="1">
      <alignment horizontal="center" vertical="center" wrapText="1"/>
    </xf>
    <xf numFmtId="170" fontId="88" fillId="27" borderId="19" xfId="362" applyNumberFormat="1" applyFont="1" applyFill="1" applyBorder="1" applyAlignment="1">
      <alignment horizontal="left" vertical="center"/>
    </xf>
    <xf numFmtId="49" fontId="88" fillId="27" borderId="19" xfId="362" applyNumberFormat="1" applyFont="1" applyFill="1" applyBorder="1" applyAlignment="1">
      <alignment horizontal="left" vertical="center"/>
    </xf>
    <xf numFmtId="174" fontId="88" fillId="27" borderId="13" xfId="362" applyFont="1" applyFill="1" applyBorder="1" applyAlignment="1">
      <alignment horizontal="left" vertical="center"/>
    </xf>
    <xf numFmtId="174" fontId="91" fillId="0" borderId="0" xfId="0" applyFont="1" applyAlignment="1">
      <alignment horizontal="justify" vertical="justify" wrapText="1"/>
    </xf>
    <xf numFmtId="174" fontId="85" fillId="0" borderId="12" xfId="0" applyNumberFormat="1" applyFont="1" applyFill="1" applyBorder="1" applyAlignment="1" applyProtection="1">
      <alignment horizontal="center" vertical="center" wrapText="1"/>
    </xf>
    <xf numFmtId="174" fontId="85" fillId="0" borderId="25" xfId="0" applyNumberFormat="1" applyFont="1" applyFill="1" applyBorder="1" applyAlignment="1" applyProtection="1">
      <alignment horizontal="center" vertical="center" wrapText="1"/>
    </xf>
    <xf numFmtId="3" fontId="85" fillId="0" borderId="20" xfId="0" applyNumberFormat="1" applyFont="1" applyFill="1" applyBorder="1" applyAlignment="1" applyProtection="1"/>
    <xf numFmtId="3" fontId="85" fillId="0" borderId="15" xfId="0" applyNumberFormat="1" applyFont="1" applyFill="1" applyBorder="1" applyAlignment="1" applyProtection="1">
      <alignment vertical="center"/>
    </xf>
    <xf numFmtId="3" fontId="76" fillId="27" borderId="19" xfId="0" applyNumberFormat="1" applyFont="1" applyFill="1" applyBorder="1" applyAlignment="1"/>
    <xf numFmtId="49" fontId="88" fillId="27" borderId="14" xfId="0" applyNumberFormat="1" applyFont="1" applyFill="1" applyBorder="1" applyAlignment="1">
      <alignment horizontal="center" vertical="center"/>
    </xf>
    <xf numFmtId="49" fontId="76" fillId="27" borderId="19" xfId="0" applyNumberFormat="1" applyFont="1" applyFill="1" applyBorder="1" applyAlignment="1">
      <alignment horizontal="center" vertical="center"/>
    </xf>
    <xf numFmtId="3" fontId="77" fillId="27" borderId="0" xfId="329" applyNumberFormat="1" applyFont="1" applyFill="1" applyBorder="1" applyAlignment="1"/>
    <xf numFmtId="49" fontId="76" fillId="27" borderId="14" xfId="0" applyNumberFormat="1" applyFont="1" applyFill="1" applyBorder="1" applyAlignment="1">
      <alignment horizontal="center" vertical="center"/>
    </xf>
    <xf numFmtId="171" fontId="76" fillId="27" borderId="0" xfId="329" applyNumberFormat="1" applyFont="1" applyFill="1" applyBorder="1" applyAlignment="1">
      <alignment horizontal="right" vertical="center" wrapText="1"/>
    </xf>
    <xf numFmtId="43" fontId="76" fillId="27" borderId="24" xfId="337" applyNumberFormat="1" applyFont="1" applyFill="1" applyBorder="1" applyAlignment="1">
      <alignment horizontal="right"/>
    </xf>
    <xf numFmtId="171" fontId="76" fillId="27" borderId="24" xfId="552" applyNumberFormat="1" applyFont="1" applyFill="1" applyBorder="1" applyAlignment="1">
      <alignment horizontal="right" vertical="center" wrapText="1"/>
    </xf>
    <xf numFmtId="171" fontId="76" fillId="27" borderId="11" xfId="329" applyNumberFormat="1" applyFont="1" applyFill="1" applyBorder="1" applyAlignment="1">
      <alignment horizontal="right" vertical="center" wrapText="1"/>
    </xf>
    <xf numFmtId="171" fontId="76" fillId="27" borderId="22" xfId="552" applyNumberFormat="1" applyFont="1" applyFill="1" applyBorder="1" applyAlignment="1">
      <alignment horizontal="right" vertical="center" wrapText="1"/>
    </xf>
    <xf numFmtId="3" fontId="76" fillId="27" borderId="17" xfId="0" applyNumberFormat="1" applyFont="1" applyFill="1" applyBorder="1" applyAlignment="1"/>
    <xf numFmtId="3" fontId="76" fillId="27" borderId="14" xfId="0" applyNumberFormat="1" applyFont="1" applyFill="1" applyBorder="1" applyAlignment="1"/>
    <xf numFmtId="174" fontId="88" fillId="0" borderId="13" xfId="0" applyNumberFormat="1" applyFont="1" applyFill="1" applyBorder="1" applyAlignment="1">
      <alignment horizontal="center" vertical="center"/>
    </xf>
    <xf numFmtId="189" fontId="70" fillId="0" borderId="0" xfId="0" applyNumberFormat="1" applyFont="1" applyBorder="1" applyAlignment="1">
      <alignment vertical="top" wrapText="1"/>
    </xf>
    <xf numFmtId="189" fontId="70" fillId="0" borderId="0" xfId="0" applyNumberFormat="1" applyFont="1" applyBorder="1" applyAlignment="1">
      <alignment vertical="top"/>
    </xf>
    <xf numFmtId="174" fontId="70" fillId="0" borderId="0" xfId="0" applyNumberFormat="1" applyFont="1" applyBorder="1" applyAlignment="1">
      <alignment vertical="top"/>
    </xf>
    <xf numFmtId="3" fontId="86" fillId="0" borderId="21" xfId="389" applyNumberFormat="1" applyFont="1" applyFill="1" applyBorder="1" applyAlignment="1">
      <alignment horizontal="center"/>
    </xf>
    <xf numFmtId="3" fontId="86" fillId="0" borderId="12" xfId="389" applyNumberFormat="1" applyFont="1" applyFill="1" applyBorder="1" applyAlignment="1">
      <alignment horizontal="center"/>
    </xf>
    <xf numFmtId="3" fontId="86" fillId="0" borderId="20" xfId="389" applyNumberFormat="1" applyFont="1" applyFill="1" applyBorder="1" applyAlignment="1">
      <alignment horizontal="center"/>
    </xf>
    <xf numFmtId="3" fontId="125" fillId="0" borderId="20" xfId="389" applyNumberFormat="1" applyFont="1" applyFill="1" applyBorder="1" applyAlignment="1">
      <alignment horizontal="center"/>
    </xf>
    <xf numFmtId="3" fontId="125" fillId="0" borderId="18" xfId="389" applyNumberFormat="1" applyFont="1" applyFill="1" applyBorder="1" applyAlignment="1">
      <alignment horizontal="center"/>
    </xf>
    <xf numFmtId="9" fontId="85" fillId="0" borderId="25" xfId="552" applyNumberFormat="1" applyFont="1" applyFill="1" applyBorder="1" applyAlignment="1">
      <alignment horizontal="center"/>
    </xf>
    <xf numFmtId="9" fontId="85" fillId="0" borderId="24" xfId="552" applyNumberFormat="1" applyFont="1" applyFill="1" applyBorder="1" applyAlignment="1">
      <alignment horizontal="center"/>
    </xf>
    <xf numFmtId="2" fontId="85" fillId="27" borderId="22" xfId="329" applyNumberFormat="1" applyFont="1" applyFill="1" applyBorder="1" applyAlignment="1">
      <alignment horizontal="right" vertical="center"/>
    </xf>
    <xf numFmtId="3" fontId="85" fillId="27" borderId="0" xfId="329" applyNumberFormat="1" applyFont="1" applyFill="1" applyBorder="1" applyAlignment="1">
      <alignment horizontal="right" vertical="center"/>
    </xf>
    <xf numFmtId="3" fontId="86" fillId="27" borderId="20" xfId="329" applyNumberFormat="1" applyFont="1" applyFill="1" applyBorder="1" applyAlignment="1">
      <alignment horizontal="right" vertical="center"/>
    </xf>
    <xf numFmtId="3" fontId="85" fillId="27" borderId="11" xfId="329" applyNumberFormat="1" applyFont="1" applyFill="1" applyBorder="1" applyAlignment="1">
      <alignment horizontal="right" vertical="center"/>
    </xf>
    <xf numFmtId="174" fontId="82" fillId="0" borderId="0" xfId="0" applyFont="1" applyFill="1" applyBorder="1" applyAlignment="1">
      <alignment horizontal="left" vertical="center" wrapText="1"/>
    </xf>
    <xf numFmtId="43" fontId="72" fillId="27" borderId="15" xfId="395" applyNumberFormat="1" applyFont="1" applyFill="1" applyBorder="1" applyAlignment="1">
      <alignment horizontal="center" vertical="center" wrapText="1"/>
    </xf>
    <xf numFmtId="43" fontId="72" fillId="27" borderId="23" xfId="395" applyNumberFormat="1" applyFont="1" applyFill="1" applyBorder="1" applyAlignment="1">
      <alignment horizontal="center" vertical="center" wrapText="1"/>
    </xf>
    <xf numFmtId="17" fontId="72" fillId="27" borderId="19" xfId="395" applyNumberFormat="1" applyFont="1" applyFill="1" applyBorder="1" applyAlignment="1">
      <alignment horizontal="center"/>
    </xf>
    <xf numFmtId="174" fontId="55" fillId="27" borderId="13" xfId="0" applyNumberFormat="1" applyFont="1" applyFill="1" applyBorder="1" applyAlignment="1">
      <alignment horizontal="center" vertical="center"/>
    </xf>
    <xf numFmtId="174" fontId="55" fillId="27" borderId="23" xfId="0" applyNumberFormat="1" applyFont="1" applyFill="1" applyBorder="1" applyAlignment="1">
      <alignment horizontal="center" vertical="center" wrapText="1"/>
    </xf>
    <xf numFmtId="174" fontId="55" fillId="27" borderId="15" xfId="0" applyNumberFormat="1" applyFont="1" applyFill="1" applyBorder="1" applyAlignment="1">
      <alignment horizontal="center" vertical="center" wrapText="1"/>
    </xf>
    <xf numFmtId="174" fontId="55" fillId="27" borderId="16" xfId="0" applyNumberFormat="1" applyFont="1" applyFill="1" applyBorder="1" applyAlignment="1">
      <alignment horizontal="center" vertical="center" wrapText="1"/>
    </xf>
    <xf numFmtId="49" fontId="55" fillId="27" borderId="19" xfId="0" applyNumberFormat="1" applyFont="1" applyFill="1" applyBorder="1" applyAlignment="1">
      <alignment horizontal="center" vertical="center"/>
    </xf>
    <xf numFmtId="3" fontId="86" fillId="27" borderId="0" xfId="329" applyNumberFormat="1" applyFont="1" applyFill="1" applyBorder="1" applyAlignment="1">
      <alignment horizontal="right"/>
    </xf>
    <xf numFmtId="3" fontId="85" fillId="27" borderId="0" xfId="329" applyNumberFormat="1" applyFont="1" applyFill="1" applyBorder="1" applyAlignment="1">
      <alignment horizontal="right"/>
    </xf>
    <xf numFmtId="2" fontId="85" fillId="27" borderId="24" xfId="329" applyNumberFormat="1" applyFont="1" applyFill="1" applyBorder="1" applyAlignment="1">
      <alignment horizontal="right"/>
    </xf>
    <xf numFmtId="2" fontId="85" fillId="27" borderId="22" xfId="329" applyNumberFormat="1" applyFont="1" applyFill="1" applyBorder="1" applyAlignment="1">
      <alignment horizontal="right"/>
    </xf>
    <xf numFmtId="43" fontId="72" fillId="27" borderId="13" xfId="395" applyNumberFormat="1" applyFont="1" applyFill="1" applyBorder="1" applyAlignment="1">
      <alignment horizontal="center" vertical="center"/>
    </xf>
    <xf numFmtId="49" fontId="85" fillId="27" borderId="20" xfId="395" applyNumberFormat="1" applyFont="1" applyFill="1" applyBorder="1" applyAlignment="1">
      <alignment horizontal="center"/>
    </xf>
    <xf numFmtId="49" fontId="85" fillId="27" borderId="18" xfId="395" applyNumberFormat="1" applyFont="1" applyFill="1" applyBorder="1" applyAlignment="1">
      <alignment horizontal="center"/>
    </xf>
    <xf numFmtId="17" fontId="72" fillId="27" borderId="14" xfId="395" applyNumberFormat="1" applyFont="1" applyFill="1" applyBorder="1" applyAlignment="1">
      <alignment horizontal="center"/>
    </xf>
    <xf numFmtId="167" fontId="56" fillId="27" borderId="0" xfId="395" applyNumberFormat="1" applyFont="1" applyFill="1" applyBorder="1" applyAlignment="1"/>
    <xf numFmtId="2" fontId="72" fillId="27" borderId="24" xfId="395" applyNumberFormat="1" applyFont="1" applyFill="1" applyBorder="1" applyAlignment="1"/>
    <xf numFmtId="167" fontId="56" fillId="27" borderId="11" xfId="395" applyNumberFormat="1" applyFont="1" applyFill="1" applyBorder="1" applyAlignment="1"/>
    <xf numFmtId="2" fontId="72" fillId="27" borderId="22" xfId="395" applyNumberFormat="1" applyFont="1" applyFill="1" applyBorder="1" applyAlignment="1"/>
    <xf numFmtId="167" fontId="88" fillId="27" borderId="13" xfId="339" applyNumberFormat="1" applyFont="1" applyFill="1" applyBorder="1" applyAlignment="1">
      <alignment horizontal="center" vertical="center" wrapText="1"/>
    </xf>
    <xf numFmtId="3" fontId="86" fillId="27" borderId="12" xfId="0" applyNumberFormat="1" applyFont="1" applyFill="1" applyBorder="1" applyAlignment="1" applyProtection="1"/>
    <xf numFmtId="171" fontId="85" fillId="27" borderId="25" xfId="552" applyNumberFormat="1" applyFont="1" applyFill="1" applyBorder="1" applyAlignment="1" applyProtection="1"/>
    <xf numFmtId="3" fontId="86" fillId="27" borderId="0" xfId="0" applyNumberFormat="1" applyFont="1" applyFill="1" applyBorder="1" applyAlignment="1" applyProtection="1"/>
    <xf numFmtId="171" fontId="85" fillId="27" borderId="24" xfId="552" applyNumberFormat="1" applyFont="1" applyFill="1" applyBorder="1" applyAlignment="1" applyProtection="1"/>
    <xf numFmtId="10" fontId="77" fillId="27" borderId="0" xfId="552" applyNumberFormat="1" applyFont="1" applyFill="1"/>
    <xf numFmtId="3" fontId="85" fillId="27" borderId="15" xfId="0" applyNumberFormat="1" applyFont="1" applyFill="1" applyBorder="1" applyAlignment="1" applyProtection="1">
      <alignment vertical="center"/>
    </xf>
    <xf numFmtId="3" fontId="85" fillId="27" borderId="23" xfId="0" applyNumberFormat="1" applyFont="1" applyFill="1" applyBorder="1" applyAlignment="1" applyProtection="1">
      <alignment vertical="center"/>
    </xf>
    <xf numFmtId="171" fontId="85" fillId="27" borderId="23" xfId="552" applyNumberFormat="1" applyFont="1" applyFill="1" applyBorder="1" applyAlignment="1" applyProtection="1">
      <alignment vertical="center"/>
    </xf>
    <xf numFmtId="171" fontId="85" fillId="27" borderId="16" xfId="552" applyNumberFormat="1" applyFont="1" applyFill="1" applyBorder="1" applyAlignment="1" applyProtection="1">
      <alignment vertical="center"/>
    </xf>
    <xf numFmtId="49" fontId="88" fillId="0" borderId="20" xfId="0" applyNumberFormat="1" applyFont="1" applyFill="1" applyBorder="1" applyAlignment="1">
      <alignment horizontal="center" vertical="center"/>
    </xf>
    <xf numFmtId="49" fontId="88" fillId="27" borderId="20" xfId="0" applyNumberFormat="1" applyFont="1" applyFill="1" applyBorder="1" applyAlignment="1">
      <alignment horizontal="center" vertical="center"/>
    </xf>
    <xf numFmtId="49" fontId="88" fillId="27" borderId="18" xfId="0" applyNumberFormat="1" applyFont="1" applyFill="1" applyBorder="1" applyAlignment="1">
      <alignment horizontal="center" vertical="center"/>
    </xf>
    <xf numFmtId="3" fontId="125" fillId="27" borderId="0" xfId="389" applyNumberFormat="1" applyFont="1" applyFill="1" applyBorder="1" applyAlignment="1">
      <alignment horizontal="center"/>
    </xf>
    <xf numFmtId="3" fontId="125" fillId="27" borderId="11" xfId="389" applyNumberFormat="1" applyFont="1" applyFill="1" applyBorder="1" applyAlignment="1">
      <alignment horizontal="center"/>
    </xf>
    <xf numFmtId="49" fontId="55" fillId="27" borderId="14" xfId="0" applyNumberFormat="1" applyFont="1" applyFill="1" applyBorder="1" applyAlignment="1">
      <alignment horizontal="center" vertical="center"/>
    </xf>
    <xf numFmtId="3" fontId="86" fillId="27" borderId="11" xfId="329" applyNumberFormat="1" applyFont="1" applyFill="1" applyBorder="1" applyAlignment="1">
      <alignment horizontal="right"/>
    </xf>
    <xf numFmtId="3" fontId="85" fillId="27" borderId="11" xfId="329" applyNumberFormat="1" applyFont="1" applyFill="1" applyBorder="1" applyAlignment="1">
      <alignment horizontal="right"/>
    </xf>
    <xf numFmtId="3" fontId="86" fillId="27" borderId="11" xfId="329" applyNumberFormat="1" applyFont="1" applyFill="1" applyBorder="1" applyAlignment="1">
      <alignment vertical="center"/>
    </xf>
    <xf numFmtId="167" fontId="72" fillId="27" borderId="20" xfId="324" applyNumberFormat="1" applyFont="1" applyFill="1" applyBorder="1" applyAlignment="1"/>
    <xf numFmtId="167" fontId="72" fillId="27" borderId="18" xfId="324" applyNumberFormat="1" applyFont="1" applyFill="1" applyBorder="1" applyAlignment="1"/>
    <xf numFmtId="174" fontId="72" fillId="27" borderId="13" xfId="0" applyNumberFormat="1" applyFont="1" applyFill="1" applyBorder="1" applyAlignment="1">
      <alignment horizontal="center" vertical="center"/>
    </xf>
    <xf numFmtId="3" fontId="107" fillId="27" borderId="0" xfId="0" applyNumberFormat="1" applyFont="1" applyFill="1" applyBorder="1" applyAlignment="1">
      <alignment horizontal="right"/>
    </xf>
    <xf numFmtId="10" fontId="107" fillId="27" borderId="24" xfId="0" applyNumberFormat="1" applyFont="1" applyFill="1" applyBorder="1" applyAlignment="1">
      <alignment horizontal="right"/>
    </xf>
    <xf numFmtId="3" fontId="98" fillId="27" borderId="11" xfId="326" applyNumberFormat="1" applyFont="1" applyFill="1" applyBorder="1" applyAlignment="1">
      <alignment horizontal="right"/>
    </xf>
    <xf numFmtId="3" fontId="107" fillId="27" borderId="11" xfId="0" applyNumberFormat="1" applyFont="1" applyFill="1" applyBorder="1" applyAlignment="1">
      <alignment horizontal="right"/>
    </xf>
    <xf numFmtId="10" fontId="107" fillId="27" borderId="22" xfId="0" applyNumberFormat="1" applyFont="1" applyFill="1" applyBorder="1" applyAlignment="1">
      <alignment horizontal="right"/>
    </xf>
    <xf numFmtId="49" fontId="107" fillId="27" borderId="19" xfId="0" applyNumberFormat="1" applyFont="1" applyFill="1" applyBorder="1" applyAlignment="1">
      <alignment horizontal="center" vertical="center"/>
    </xf>
    <xf numFmtId="49" fontId="107" fillId="27" borderId="14" xfId="0" applyNumberFormat="1" applyFont="1" applyFill="1" applyBorder="1" applyAlignment="1">
      <alignment horizontal="center" vertical="center"/>
    </xf>
    <xf numFmtId="3" fontId="67" fillId="27" borderId="0" xfId="0" applyNumberFormat="1" applyFont="1" applyFill="1" applyBorder="1" applyAlignment="1">
      <alignment horizontal="center" vertical="center"/>
    </xf>
    <xf numFmtId="10" fontId="88" fillId="27" borderId="24" xfId="552" applyNumberFormat="1" applyFont="1" applyFill="1" applyBorder="1" applyAlignment="1">
      <alignment horizontal="center" vertical="center"/>
    </xf>
    <xf numFmtId="171" fontId="88" fillId="27" borderId="16" xfId="362" applyNumberFormat="1" applyFont="1" applyFill="1" applyBorder="1" applyAlignment="1">
      <alignment horizontal="center" vertical="center"/>
    </xf>
    <xf numFmtId="167" fontId="85" fillId="27" borderId="23" xfId="339" applyNumberFormat="1" applyFont="1" applyFill="1" applyBorder="1" applyAlignment="1">
      <alignment horizontal="center" vertical="center" wrapText="1"/>
    </xf>
    <xf numFmtId="167" fontId="85" fillId="27" borderId="16" xfId="339" applyNumberFormat="1" applyFont="1" applyFill="1" applyBorder="1" applyAlignment="1">
      <alignment horizontal="center" vertical="center" wrapText="1"/>
    </xf>
    <xf numFmtId="41" fontId="85" fillId="27" borderId="23" xfId="362" applyNumberFormat="1" applyFont="1" applyFill="1" applyBorder="1" applyAlignment="1">
      <alignment horizontal="center" vertical="center"/>
    </xf>
    <xf numFmtId="9" fontId="85" fillId="27" borderId="16" xfId="552" applyFont="1" applyFill="1" applyBorder="1" applyAlignment="1">
      <alignment horizontal="center" vertical="center"/>
    </xf>
    <xf numFmtId="167" fontId="85" fillId="27" borderId="13" xfId="339" applyNumberFormat="1" applyFont="1" applyFill="1" applyBorder="1" applyAlignment="1">
      <alignment horizontal="center" vertical="center" wrapText="1"/>
    </xf>
    <xf numFmtId="174" fontId="85" fillId="27" borderId="13" xfId="362" applyFont="1" applyFill="1" applyBorder="1" applyAlignment="1">
      <alignment horizontal="center" vertical="center"/>
    </xf>
    <xf numFmtId="170" fontId="85" fillId="27" borderId="19" xfId="362" applyNumberFormat="1" applyFont="1" applyFill="1" applyBorder="1" applyAlignment="1">
      <alignment horizontal="left" vertical="center"/>
    </xf>
    <xf numFmtId="49" fontId="85" fillId="27" borderId="19" xfId="362" applyNumberFormat="1" applyFont="1" applyFill="1" applyBorder="1" applyAlignment="1">
      <alignment horizontal="left" vertical="center"/>
    </xf>
    <xf numFmtId="174" fontId="85" fillId="27" borderId="12" xfId="389" applyFont="1" applyFill="1" applyBorder="1" applyAlignment="1">
      <alignment horizontal="center" vertical="center" wrapText="1"/>
    </xf>
    <xf numFmtId="174" fontId="85" fillId="27" borderId="12" xfId="389" applyFont="1" applyFill="1" applyBorder="1" applyAlignment="1">
      <alignment horizontal="center" vertical="center"/>
    </xf>
    <xf numFmtId="174" fontId="85" fillId="27" borderId="12" xfId="0" applyFont="1" applyFill="1" applyBorder="1" applyAlignment="1">
      <alignment horizontal="center" vertical="center" wrapText="1"/>
    </xf>
    <xf numFmtId="174" fontId="85" fillId="27" borderId="13" xfId="0" applyFont="1" applyFill="1" applyBorder="1" applyAlignment="1">
      <alignment horizontal="center" vertical="center"/>
    </xf>
    <xf numFmtId="9" fontId="85" fillId="27" borderId="13" xfId="0" applyNumberFormat="1" applyFont="1" applyFill="1" applyBorder="1" applyAlignment="1">
      <alignment horizontal="center"/>
    </xf>
    <xf numFmtId="17" fontId="85" fillId="27" borderId="17" xfId="0" applyNumberFormat="1" applyFont="1" applyFill="1" applyBorder="1" applyAlignment="1">
      <alignment horizontal="center" vertical="center"/>
    </xf>
    <xf numFmtId="174" fontId="85" fillId="27" borderId="17" xfId="389" applyFont="1" applyFill="1" applyBorder="1" applyAlignment="1">
      <alignment horizontal="center" vertical="center" wrapText="1"/>
    </xf>
    <xf numFmtId="174" fontId="85" fillId="27" borderId="17" xfId="0" applyFont="1" applyFill="1" applyBorder="1" applyAlignment="1">
      <alignment horizontal="center" vertical="center" wrapText="1"/>
    </xf>
    <xf numFmtId="10" fontId="103" fillId="0" borderId="0" xfId="627" applyNumberFormat="1" applyFont="1"/>
    <xf numFmtId="0" fontId="108" fillId="0" borderId="13" xfId="627" applyFont="1" applyFill="1" applyBorder="1" applyAlignment="1">
      <alignment horizontal="center" vertical="center"/>
    </xf>
    <xf numFmtId="3" fontId="108" fillId="0" borderId="0" xfId="627" applyNumberFormat="1" applyFont="1" applyFill="1" applyBorder="1" applyAlignment="1">
      <alignment horizontal="center"/>
    </xf>
    <xf numFmtId="3" fontId="104" fillId="0" borderId="0" xfId="393" applyNumberFormat="1" applyFont="1" applyFill="1" applyBorder="1" applyAlignment="1">
      <alignment horizontal="center"/>
    </xf>
    <xf numFmtId="171" fontId="108" fillId="0" borderId="0" xfId="393" applyNumberFormat="1" applyFont="1" applyFill="1" applyBorder="1" applyAlignment="1">
      <alignment horizontal="center"/>
    </xf>
    <xf numFmtId="167" fontId="104" fillId="0" borderId="0" xfId="324" applyNumberFormat="1" applyFont="1" applyFill="1" applyBorder="1" applyAlignment="1">
      <alignment horizontal="center"/>
    </xf>
    <xf numFmtId="171" fontId="108" fillId="0" borderId="0" xfId="627" applyNumberFormat="1" applyFont="1" applyFill="1" applyBorder="1" applyAlignment="1">
      <alignment horizontal="center"/>
    </xf>
    <xf numFmtId="10" fontId="108" fillId="0" borderId="0" xfId="627" applyNumberFormat="1" applyFont="1" applyFill="1" applyBorder="1" applyAlignment="1">
      <alignment horizontal="center"/>
    </xf>
    <xf numFmtId="0" fontId="108" fillId="0" borderId="23" xfId="627" applyFont="1" applyFill="1" applyBorder="1" applyAlignment="1">
      <alignment horizontal="center" vertical="center" wrapText="1"/>
    </xf>
    <xf numFmtId="0" fontId="108" fillId="0" borderId="16" xfId="627" applyFont="1" applyFill="1" applyBorder="1" applyAlignment="1">
      <alignment horizontal="center" vertical="center" wrapText="1"/>
    </xf>
    <xf numFmtId="0" fontId="108" fillId="0" borderId="19" xfId="627" applyFont="1" applyFill="1" applyBorder="1" applyAlignment="1">
      <alignment horizontal="center"/>
    </xf>
    <xf numFmtId="0" fontId="108" fillId="0" borderId="19" xfId="627" applyNumberFormat="1" applyFont="1" applyFill="1" applyBorder="1" applyAlignment="1">
      <alignment horizontal="center"/>
    </xf>
    <xf numFmtId="0" fontId="108" fillId="0" borderId="14" xfId="627" applyNumberFormat="1" applyFont="1" applyFill="1" applyBorder="1" applyAlignment="1">
      <alignment horizontal="center"/>
    </xf>
    <xf numFmtId="10" fontId="108" fillId="0" borderId="24" xfId="627" applyNumberFormat="1" applyFont="1" applyFill="1" applyBorder="1" applyAlignment="1">
      <alignment horizontal="center"/>
    </xf>
    <xf numFmtId="3" fontId="108" fillId="0" borderId="11" xfId="627" applyNumberFormat="1" applyFont="1" applyFill="1" applyBorder="1" applyAlignment="1">
      <alignment horizontal="center"/>
    </xf>
    <xf numFmtId="3" fontId="104" fillId="0" borderId="11" xfId="393" applyNumberFormat="1" applyFont="1" applyFill="1" applyBorder="1" applyAlignment="1">
      <alignment horizontal="center"/>
    </xf>
    <xf numFmtId="171" fontId="108" fillId="0" borderId="11" xfId="393" applyNumberFormat="1" applyFont="1" applyFill="1" applyBorder="1" applyAlignment="1">
      <alignment horizontal="center"/>
    </xf>
    <xf numFmtId="167" fontId="104" fillId="0" borderId="11" xfId="324" applyNumberFormat="1" applyFont="1" applyFill="1" applyBorder="1" applyAlignment="1">
      <alignment horizontal="center"/>
    </xf>
    <xf numFmtId="171" fontId="108" fillId="0" borderId="11" xfId="627" applyNumberFormat="1" applyFont="1" applyFill="1" applyBorder="1" applyAlignment="1">
      <alignment horizontal="center"/>
    </xf>
    <xf numFmtId="10" fontId="108" fillId="0" borderId="11" xfId="627" applyNumberFormat="1" applyFont="1" applyFill="1" applyBorder="1" applyAlignment="1">
      <alignment horizontal="center"/>
    </xf>
    <xf numFmtId="10" fontId="108" fillId="0" borderId="22" xfId="627" applyNumberFormat="1" applyFont="1" applyFill="1" applyBorder="1" applyAlignment="1">
      <alignment horizontal="center"/>
    </xf>
    <xf numFmtId="0" fontId="108" fillId="0" borderId="15" xfId="627" applyFont="1" applyFill="1" applyBorder="1" applyAlignment="1">
      <alignment horizontal="center" vertical="center" wrapText="1"/>
    </xf>
    <xf numFmtId="167" fontId="108" fillId="0" borderId="20" xfId="324" applyNumberFormat="1" applyFont="1" applyFill="1" applyBorder="1" applyAlignment="1">
      <alignment horizontal="center"/>
    </xf>
    <xf numFmtId="167" fontId="104" fillId="0" borderId="20" xfId="324" applyNumberFormat="1" applyFont="1" applyFill="1" applyBorder="1" applyAlignment="1">
      <alignment horizontal="center"/>
    </xf>
    <xf numFmtId="167" fontId="108" fillId="0" borderId="18" xfId="324" applyNumberFormat="1" applyFont="1" applyFill="1" applyBorder="1" applyAlignment="1">
      <alignment horizontal="center"/>
    </xf>
    <xf numFmtId="167" fontId="104" fillId="0" borderId="18" xfId="324" applyNumberFormat="1" applyFont="1" applyFill="1" applyBorder="1" applyAlignment="1">
      <alignment horizontal="center"/>
    </xf>
    <xf numFmtId="174" fontId="116" fillId="25" borderId="0" xfId="0" applyFont="1" applyFill="1" applyBorder="1" applyAlignment="1">
      <alignment horizontal="center" vertical="center" wrapText="1"/>
    </xf>
    <xf numFmtId="171" fontId="84" fillId="0" borderId="0" xfId="0" applyNumberFormat="1" applyFont="1" applyFill="1" applyBorder="1" applyAlignment="1">
      <alignment horizontal="center"/>
    </xf>
    <xf numFmtId="3" fontId="84" fillId="0" borderId="0" xfId="0" applyNumberFormat="1" applyFont="1" applyFill="1" applyBorder="1" applyAlignment="1">
      <alignment horizontal="center"/>
    </xf>
    <xf numFmtId="3" fontId="65" fillId="0" borderId="24" xfId="0" applyNumberFormat="1" applyFont="1" applyFill="1" applyBorder="1" applyAlignment="1">
      <alignment horizontal="center"/>
    </xf>
    <xf numFmtId="3" fontId="84" fillId="0" borderId="11" xfId="0" applyNumberFormat="1" applyFont="1" applyFill="1" applyBorder="1" applyAlignment="1">
      <alignment horizontal="center"/>
    </xf>
    <xf numFmtId="3" fontId="65" fillId="0" borderId="22" xfId="0" applyNumberFormat="1" applyFont="1" applyFill="1" applyBorder="1" applyAlignment="1">
      <alignment horizontal="center"/>
    </xf>
    <xf numFmtId="174" fontId="116" fillId="0" borderId="11" xfId="0" applyFont="1" applyFill="1" applyBorder="1" applyAlignment="1">
      <alignment horizontal="center" vertical="center" wrapText="1"/>
    </xf>
    <xf numFmtId="174" fontId="116" fillId="0" borderId="22" xfId="0" applyFont="1" applyFill="1" applyBorder="1" applyAlignment="1">
      <alignment horizontal="center" vertical="center" wrapText="1"/>
    </xf>
    <xf numFmtId="17" fontId="65" fillId="0" borderId="19" xfId="0" applyNumberFormat="1" applyFont="1" applyFill="1" applyBorder="1" applyAlignment="1">
      <alignment horizontal="center"/>
    </xf>
    <xf numFmtId="17" fontId="65" fillId="0" borderId="14" xfId="0" applyNumberFormat="1" applyFont="1" applyFill="1" applyBorder="1" applyAlignment="1">
      <alignment horizontal="center"/>
    </xf>
    <xf numFmtId="174" fontId="116" fillId="0" borderId="18" xfId="0" applyFont="1" applyFill="1" applyBorder="1" applyAlignment="1">
      <alignment horizontal="center" vertical="center" wrapText="1"/>
    </xf>
    <xf numFmtId="3" fontId="84" fillId="0" borderId="20" xfId="0" applyNumberFormat="1" applyFont="1" applyFill="1" applyBorder="1" applyAlignment="1">
      <alignment horizontal="center"/>
    </xf>
    <xf numFmtId="3" fontId="84" fillId="0" borderId="18" xfId="0" applyNumberFormat="1" applyFont="1" applyFill="1" applyBorder="1" applyAlignment="1">
      <alignment horizontal="center"/>
    </xf>
    <xf numFmtId="174" fontId="58" fillId="0" borderId="0" xfId="0" applyNumberFormat="1" applyFont="1" applyAlignment="1">
      <alignment vertical="center"/>
    </xf>
    <xf numFmtId="174" fontId="0" fillId="0" borderId="0" xfId="0" applyNumberFormat="1" applyAlignment="1">
      <alignment vertical="center"/>
    </xf>
    <xf numFmtId="3" fontId="40" fillId="0" borderId="0" xfId="0" applyNumberFormat="1" applyFont="1" applyFill="1" applyBorder="1" applyAlignment="1">
      <alignment horizontal="center" vertical="center"/>
    </xf>
    <xf numFmtId="3" fontId="56" fillId="27" borderId="0" xfId="324" applyNumberFormat="1" applyFont="1" applyFill="1" applyBorder="1" applyAlignment="1">
      <alignment horizontal="center" vertical="center"/>
    </xf>
    <xf numFmtId="174" fontId="72" fillId="27" borderId="23" xfId="0" applyNumberFormat="1" applyFont="1" applyFill="1" applyBorder="1" applyAlignment="1">
      <alignment horizontal="center" vertical="center"/>
    </xf>
    <xf numFmtId="49" fontId="72" fillId="27" borderId="19" xfId="0" applyNumberFormat="1" applyFont="1" applyFill="1" applyBorder="1" applyAlignment="1">
      <alignment horizontal="center" vertical="center"/>
    </xf>
    <xf numFmtId="174" fontId="72" fillId="27" borderId="14" xfId="0" applyNumberFormat="1" applyFont="1" applyFill="1" applyBorder="1" applyAlignment="1">
      <alignment horizontal="center" vertical="center"/>
    </xf>
    <xf numFmtId="3" fontId="72" fillId="27" borderId="23" xfId="324" applyNumberFormat="1" applyFont="1" applyFill="1" applyBorder="1" applyAlignment="1">
      <alignment horizontal="center" vertical="center"/>
    </xf>
    <xf numFmtId="3" fontId="72" fillId="27" borderId="19" xfId="324" applyNumberFormat="1" applyFont="1" applyFill="1" applyBorder="1" applyAlignment="1">
      <alignment horizontal="center" vertical="center"/>
    </xf>
    <xf numFmtId="174" fontId="72" fillId="27" borderId="13" xfId="0" applyNumberFormat="1" applyFont="1" applyFill="1" applyBorder="1" applyAlignment="1">
      <alignment horizontal="center" vertical="center" wrapText="1"/>
    </xf>
    <xf numFmtId="3" fontId="72" fillId="27" borderId="20" xfId="324" applyNumberFormat="1" applyFont="1" applyFill="1" applyBorder="1" applyAlignment="1">
      <alignment horizontal="center" vertical="center"/>
    </xf>
    <xf numFmtId="1" fontId="56" fillId="27" borderId="0" xfId="324" applyNumberFormat="1" applyFont="1" applyFill="1" applyBorder="1" applyAlignment="1">
      <alignment horizontal="center" vertical="center"/>
    </xf>
    <xf numFmtId="167" fontId="56" fillId="27" borderId="0" xfId="324" applyNumberFormat="1" applyFont="1" applyFill="1" applyBorder="1" applyAlignment="1">
      <alignment horizontal="center" vertical="center"/>
    </xf>
    <xf numFmtId="174" fontId="72" fillId="27" borderId="11" xfId="0" applyNumberFormat="1" applyFont="1" applyFill="1" applyBorder="1" applyAlignment="1">
      <alignment horizontal="center" vertical="center"/>
    </xf>
    <xf numFmtId="174" fontId="72" fillId="27" borderId="11" xfId="0" applyNumberFormat="1" applyFont="1" applyFill="1" applyBorder="1" applyAlignment="1">
      <alignment horizontal="center" vertical="center" wrapText="1"/>
    </xf>
    <xf numFmtId="174" fontId="72" fillId="27" borderId="22" xfId="0" applyNumberFormat="1" applyFont="1" applyFill="1" applyBorder="1" applyAlignment="1">
      <alignment horizontal="center" vertical="center" wrapText="1"/>
    </xf>
    <xf numFmtId="49" fontId="72" fillId="27" borderId="13" xfId="0" applyNumberFormat="1" applyFont="1" applyFill="1" applyBorder="1" applyAlignment="1">
      <alignment horizontal="center" vertical="center"/>
    </xf>
    <xf numFmtId="167" fontId="72" fillId="27" borderId="23" xfId="324" applyNumberFormat="1" applyFont="1" applyFill="1" applyBorder="1" applyAlignment="1">
      <alignment horizontal="center" vertical="center"/>
    </xf>
    <xf numFmtId="167" fontId="72" fillId="27" borderId="19" xfId="0" applyNumberFormat="1" applyFont="1" applyFill="1" applyBorder="1" applyAlignment="1">
      <alignment horizontal="center" vertical="center"/>
    </xf>
    <xf numFmtId="167" fontId="72" fillId="27" borderId="20" xfId="324" applyNumberFormat="1" applyFont="1" applyFill="1" applyBorder="1" applyAlignment="1">
      <alignment vertical="center"/>
    </xf>
    <xf numFmtId="41" fontId="72" fillId="27" borderId="24" xfId="0" applyNumberFormat="1" applyFont="1" applyFill="1" applyBorder="1" applyAlignment="1">
      <alignment horizontal="center" vertical="center"/>
    </xf>
    <xf numFmtId="49" fontId="72" fillId="27" borderId="14" xfId="0" applyNumberFormat="1" applyFont="1" applyFill="1" applyBorder="1" applyAlignment="1">
      <alignment horizontal="center" vertical="center"/>
    </xf>
    <xf numFmtId="174" fontId="72" fillId="27" borderId="18" xfId="0" applyNumberFormat="1" applyFont="1" applyFill="1" applyBorder="1" applyAlignment="1">
      <alignment horizontal="center" vertical="center" wrapText="1"/>
    </xf>
    <xf numFmtId="40" fontId="72" fillId="27" borderId="13" xfId="0" applyNumberFormat="1" applyFont="1" applyFill="1" applyBorder="1" applyAlignment="1">
      <alignment horizontal="center" vertical="center"/>
    </xf>
    <xf numFmtId="40" fontId="72" fillId="27" borderId="13" xfId="0" applyNumberFormat="1" applyFont="1" applyFill="1" applyBorder="1" applyAlignment="1">
      <alignment horizontal="center" vertical="center" wrapText="1"/>
    </xf>
    <xf numFmtId="38" fontId="64" fillId="27" borderId="0" xfId="324" applyNumberFormat="1" applyFont="1" applyFill="1" applyBorder="1" applyAlignment="1">
      <alignment horizontal="center"/>
    </xf>
    <xf numFmtId="40" fontId="72" fillId="27" borderId="11" xfId="0" applyNumberFormat="1" applyFont="1" applyFill="1" applyBorder="1" applyAlignment="1">
      <alignment horizontal="center" vertical="center"/>
    </xf>
    <xf numFmtId="40" fontId="72" fillId="27" borderId="11" xfId="0" applyNumberFormat="1" applyFont="1" applyFill="1" applyBorder="1" applyAlignment="1">
      <alignment horizontal="center" vertical="center" wrapText="1"/>
    </xf>
    <xf numFmtId="49" fontId="72" fillId="27" borderId="19" xfId="0" applyNumberFormat="1" applyFont="1" applyFill="1" applyBorder="1" applyAlignment="1">
      <alignment horizontal="center"/>
    </xf>
    <xf numFmtId="38" fontId="72" fillId="27" borderId="23" xfId="324" applyNumberFormat="1" applyFont="1" applyFill="1" applyBorder="1" applyAlignment="1">
      <alignment horizontal="center" vertical="center"/>
    </xf>
    <xf numFmtId="38" fontId="72" fillId="27" borderId="19" xfId="0" applyNumberFormat="1" applyFont="1" applyFill="1" applyBorder="1" applyAlignment="1">
      <alignment horizontal="center" wrapText="1"/>
    </xf>
    <xf numFmtId="38" fontId="72" fillId="27" borderId="15" xfId="324" applyNumberFormat="1" applyFont="1" applyFill="1" applyBorder="1" applyAlignment="1">
      <alignment horizontal="center" vertical="center"/>
    </xf>
    <xf numFmtId="14" fontId="55" fillId="27" borderId="13" xfId="0" applyNumberFormat="1" applyFont="1" applyFill="1" applyBorder="1" applyAlignment="1">
      <alignment horizontal="center" vertical="center" wrapText="1"/>
    </xf>
    <xf numFmtId="38" fontId="70" fillId="27" borderId="0" xfId="0" applyNumberFormat="1" applyFont="1" applyFill="1" applyBorder="1"/>
    <xf numFmtId="171" fontId="55" fillId="27" borderId="0" xfId="0" applyNumberFormat="1" applyFont="1" applyFill="1" applyBorder="1"/>
    <xf numFmtId="171" fontId="55" fillId="27" borderId="24" xfId="0" applyNumberFormat="1" applyFont="1" applyFill="1" applyBorder="1"/>
    <xf numFmtId="171" fontId="55" fillId="27" borderId="11" xfId="0" applyNumberFormat="1" applyFont="1" applyFill="1" applyBorder="1"/>
    <xf numFmtId="171" fontId="55" fillId="27" borderId="22" xfId="0" applyNumberFormat="1" applyFont="1" applyFill="1" applyBorder="1"/>
    <xf numFmtId="171" fontId="55" fillId="27" borderId="12" xfId="0" applyNumberFormat="1" applyFont="1" applyFill="1" applyBorder="1"/>
    <xf numFmtId="38" fontId="70" fillId="27" borderId="12" xfId="0" applyNumberFormat="1" applyFont="1" applyFill="1" applyBorder="1"/>
    <xf numFmtId="171" fontId="55" fillId="27" borderId="25" xfId="0" applyNumberFormat="1" applyFont="1" applyFill="1" applyBorder="1"/>
    <xf numFmtId="171" fontId="56" fillId="27" borderId="24" xfId="0" applyNumberFormat="1" applyFont="1" applyFill="1" applyBorder="1"/>
    <xf numFmtId="43" fontId="72" fillId="27" borderId="13" xfId="0" applyNumberFormat="1" applyFont="1" applyFill="1" applyBorder="1" applyAlignment="1">
      <alignment horizontal="center" vertical="center"/>
    </xf>
    <xf numFmtId="17" fontId="85" fillId="27" borderId="19" xfId="0" applyNumberFormat="1" applyFont="1" applyFill="1" applyBorder="1" applyAlignment="1" applyProtection="1">
      <alignment horizontal="center"/>
    </xf>
    <xf numFmtId="17" fontId="85" fillId="27" borderId="14" xfId="0" applyNumberFormat="1" applyFont="1" applyFill="1" applyBorder="1" applyAlignment="1" applyProtection="1">
      <alignment horizontal="center"/>
    </xf>
    <xf numFmtId="10" fontId="77" fillId="0" borderId="0" xfId="552" applyNumberFormat="1" applyFont="1" applyFill="1" applyBorder="1" applyAlignment="1"/>
    <xf numFmtId="3" fontId="85" fillId="27" borderId="19" xfId="0" applyNumberFormat="1" applyFont="1" applyFill="1" applyBorder="1" applyAlignment="1" applyProtection="1">
      <alignment horizontal="center"/>
    </xf>
    <xf numFmtId="3" fontId="85" fillId="27" borderId="14" xfId="0" applyNumberFormat="1" applyFont="1" applyFill="1" applyBorder="1" applyAlignment="1" applyProtection="1">
      <alignment horizontal="center"/>
    </xf>
    <xf numFmtId="174" fontId="72" fillId="27" borderId="23" xfId="0" applyFont="1" applyFill="1" applyBorder="1" applyAlignment="1">
      <alignment horizontal="center" vertical="center" wrapText="1"/>
    </xf>
    <xf numFmtId="174" fontId="72" fillId="27" borderId="16" xfId="0" applyFont="1" applyFill="1" applyBorder="1" applyAlignment="1">
      <alignment horizontal="center" vertical="center" wrapText="1"/>
    </xf>
    <xf numFmtId="167" fontId="72" fillId="27" borderId="23" xfId="324" applyNumberFormat="1" applyFont="1" applyFill="1" applyBorder="1"/>
    <xf numFmtId="43" fontId="64" fillId="0" borderId="0" xfId="324" applyFont="1"/>
    <xf numFmtId="174" fontId="64" fillId="0" borderId="0" xfId="389" applyNumberFormat="1" applyFont="1" applyAlignment="1">
      <alignment vertical="center"/>
    </xf>
    <xf numFmtId="43" fontId="72" fillId="27" borderId="13" xfId="0" applyNumberFormat="1" applyFont="1" applyFill="1" applyBorder="1" applyAlignment="1">
      <alignment vertical="center"/>
    </xf>
    <xf numFmtId="43" fontId="71" fillId="0" borderId="0" xfId="0" applyNumberFormat="1" applyFont="1" applyFill="1" applyBorder="1" applyAlignment="1">
      <alignment vertical="center"/>
    </xf>
    <xf numFmtId="43" fontId="56" fillId="27" borderId="0" xfId="337" applyNumberFormat="1" applyFont="1" applyFill="1" applyBorder="1" applyAlignment="1">
      <alignment horizontal="right" vertical="center"/>
    </xf>
    <xf numFmtId="43" fontId="56" fillId="27" borderId="0" xfId="337" applyNumberFormat="1" applyFont="1" applyFill="1" applyBorder="1" applyAlignment="1">
      <alignment vertical="center"/>
    </xf>
    <xf numFmtId="49" fontId="72" fillId="27" borderId="23" xfId="337" applyNumberFormat="1" applyFont="1" applyFill="1" applyBorder="1" applyAlignment="1">
      <alignment horizontal="center" vertical="center" wrapText="1"/>
    </xf>
    <xf numFmtId="43" fontId="72" fillId="27" borderId="23" xfId="0" applyNumberFormat="1" applyFont="1" applyFill="1" applyBorder="1" applyAlignment="1">
      <alignment vertical="center"/>
    </xf>
    <xf numFmtId="17" fontId="72" fillId="27" borderId="13" xfId="324" applyNumberFormat="1" applyFont="1" applyFill="1" applyBorder="1" applyAlignment="1">
      <alignment horizontal="left" vertical="center"/>
    </xf>
    <xf numFmtId="40" fontId="72" fillId="27" borderId="0" xfId="324" applyNumberFormat="1" applyFont="1" applyFill="1" applyBorder="1"/>
    <xf numFmtId="40" fontId="72" fillId="27" borderId="24" xfId="324" applyNumberFormat="1" applyFont="1" applyFill="1" applyBorder="1"/>
    <xf numFmtId="0" fontId="72" fillId="27" borderId="19" xfId="324" applyNumberFormat="1" applyFont="1" applyFill="1" applyBorder="1" applyAlignment="1">
      <alignment horizontal="center" vertical="center"/>
    </xf>
    <xf numFmtId="40" fontId="72" fillId="27" borderId="23" xfId="324" applyNumberFormat="1" applyFont="1" applyFill="1" applyBorder="1" applyAlignment="1">
      <alignment vertical="center"/>
    </xf>
    <xf numFmtId="40" fontId="72" fillId="27" borderId="15" xfId="324" applyNumberFormat="1" applyFont="1" applyFill="1" applyBorder="1" applyAlignment="1">
      <alignment vertical="center"/>
    </xf>
    <xf numFmtId="174" fontId="72" fillId="27" borderId="15" xfId="389" applyNumberFormat="1" applyFont="1" applyFill="1" applyBorder="1" applyAlignment="1">
      <alignment horizontal="center" vertical="center" wrapText="1"/>
    </xf>
    <xf numFmtId="40" fontId="72" fillId="27" borderId="20" xfId="324" applyNumberFormat="1" applyFont="1" applyFill="1" applyBorder="1"/>
    <xf numFmtId="189" fontId="0" fillId="0" borderId="0" xfId="0" applyNumberFormat="1"/>
    <xf numFmtId="176" fontId="0" fillId="0" borderId="0" xfId="552" applyNumberFormat="1" applyFont="1"/>
    <xf numFmtId="174" fontId="85" fillId="27" borderId="13" xfId="337" applyNumberFormat="1" applyFont="1" applyFill="1" applyBorder="1" applyAlignment="1">
      <alignment horizontal="center" vertical="center" wrapText="1"/>
    </xf>
    <xf numFmtId="43" fontId="107" fillId="27" borderId="19" xfId="337" applyNumberFormat="1" applyFont="1" applyFill="1" applyBorder="1" applyAlignment="1">
      <alignment horizontal="left" vertical="center" wrapText="1"/>
    </xf>
    <xf numFmtId="43" fontId="107" fillId="27" borderId="13" xfId="0" applyNumberFormat="1" applyFont="1" applyFill="1" applyBorder="1" applyAlignment="1">
      <alignment vertical="center"/>
    </xf>
    <xf numFmtId="174" fontId="72" fillId="27" borderId="13" xfId="389" applyNumberFormat="1" applyFont="1" applyFill="1" applyBorder="1" applyAlignment="1">
      <alignment horizontal="center" vertical="center" wrapText="1"/>
    </xf>
    <xf numFmtId="49" fontId="72" fillId="27" borderId="19" xfId="389" applyNumberFormat="1" applyFont="1" applyFill="1" applyBorder="1" applyAlignment="1">
      <alignment horizontal="center"/>
    </xf>
    <xf numFmtId="43" fontId="58" fillId="27" borderId="0" xfId="395" applyNumberFormat="1" applyFont="1" applyFill="1" applyBorder="1" applyAlignment="1">
      <alignment horizontal="right"/>
    </xf>
    <xf numFmtId="40" fontId="69" fillId="27" borderId="19" xfId="395" applyNumberFormat="1" applyFont="1" applyFill="1" applyBorder="1" applyAlignment="1">
      <alignment horizontal="left" vertical="center" wrapText="1"/>
    </xf>
    <xf numFmtId="49" fontId="69" fillId="27" borderId="23" xfId="395" applyNumberFormat="1" applyFont="1" applyFill="1" applyBorder="1" applyAlignment="1">
      <alignment horizontal="center" vertical="center"/>
    </xf>
    <xf numFmtId="40" fontId="69" fillId="27" borderId="13" xfId="395" applyNumberFormat="1" applyFont="1" applyFill="1" applyBorder="1" applyAlignment="1">
      <alignment horizontal="center" vertical="center" wrapText="1"/>
    </xf>
    <xf numFmtId="43" fontId="72" fillId="27" borderId="13" xfId="337" applyFont="1" applyFill="1" applyBorder="1" applyAlignment="1">
      <alignment horizontal="center" vertical="center" wrapText="1"/>
    </xf>
    <xf numFmtId="43" fontId="72" fillId="27" borderId="0" xfId="337" applyFont="1" applyFill="1" applyBorder="1" applyAlignment="1">
      <alignment horizontal="center" vertical="center" wrapText="1"/>
    </xf>
    <xf numFmtId="43" fontId="56" fillId="27" borderId="0" xfId="329" applyFont="1" applyFill="1" applyBorder="1" applyAlignment="1">
      <alignment vertical="center"/>
    </xf>
    <xf numFmtId="43" fontId="72" fillId="27" borderId="0" xfId="337" applyFont="1" applyFill="1" applyBorder="1" applyAlignment="1">
      <alignment vertical="center"/>
    </xf>
    <xf numFmtId="43" fontId="72" fillId="27" borderId="23" xfId="337" applyFont="1" applyFill="1" applyBorder="1" applyAlignment="1">
      <alignment horizontal="center" vertical="center" wrapText="1"/>
    </xf>
    <xf numFmtId="43" fontId="72" fillId="27" borderId="23" xfId="337" applyFont="1" applyFill="1" applyBorder="1" applyAlignment="1">
      <alignment vertical="center"/>
    </xf>
    <xf numFmtId="17" fontId="72" fillId="27" borderId="19" xfId="0" applyNumberFormat="1" applyFont="1" applyFill="1" applyBorder="1" applyAlignment="1">
      <alignment horizontal="center" vertical="center"/>
    </xf>
    <xf numFmtId="43" fontId="72" fillId="27" borderId="19" xfId="337" applyFont="1" applyFill="1" applyBorder="1" applyAlignment="1">
      <alignment vertical="center"/>
    </xf>
    <xf numFmtId="49" fontId="69" fillId="27" borderId="13" xfId="395" applyNumberFormat="1" applyFont="1" applyFill="1" applyBorder="1" applyAlignment="1">
      <alignment horizontal="center" vertical="center"/>
    </xf>
    <xf numFmtId="43" fontId="69" fillId="27" borderId="19" xfId="395" applyNumberFormat="1" applyFont="1" applyFill="1" applyBorder="1" applyAlignment="1">
      <alignment horizontal="right"/>
    </xf>
    <xf numFmtId="174" fontId="85" fillId="27" borderId="13" xfId="392" applyFont="1" applyFill="1" applyBorder="1" applyAlignment="1">
      <alignment horizontal="center" vertical="center"/>
    </xf>
    <xf numFmtId="174" fontId="85" fillId="27" borderId="13" xfId="392" applyFont="1" applyFill="1" applyBorder="1" applyAlignment="1">
      <alignment vertical="center"/>
    </xf>
    <xf numFmtId="174" fontId="85" fillId="27" borderId="19" xfId="392" applyFont="1" applyFill="1" applyBorder="1" applyAlignment="1">
      <alignment vertical="center" wrapText="1"/>
    </xf>
    <xf numFmtId="174" fontId="85" fillId="27" borderId="19" xfId="392" applyFont="1" applyFill="1" applyBorder="1" applyAlignment="1">
      <alignment horizontal="left" vertical="center" wrapText="1"/>
    </xf>
    <xf numFmtId="43" fontId="72" fillId="27" borderId="23" xfId="0" applyNumberFormat="1" applyFont="1" applyFill="1" applyBorder="1" applyAlignment="1">
      <alignment horizontal="center" vertical="center" wrapText="1"/>
    </xf>
    <xf numFmtId="43" fontId="72" fillId="27" borderId="23" xfId="0" applyNumberFormat="1" applyFont="1" applyFill="1" applyBorder="1"/>
    <xf numFmtId="0" fontId="72" fillId="27" borderId="19" xfId="0" applyNumberFormat="1" applyFont="1" applyFill="1" applyBorder="1" applyAlignment="1">
      <alignment horizontal="center"/>
    </xf>
    <xf numFmtId="0" fontId="72" fillId="27" borderId="19" xfId="0" applyNumberFormat="1" applyFont="1" applyFill="1" applyBorder="1" applyAlignment="1">
      <alignment horizontal="center" vertical="center"/>
    </xf>
    <xf numFmtId="43" fontId="72" fillId="27" borderId="15" xfId="0" applyNumberFormat="1" applyFont="1" applyFill="1" applyBorder="1"/>
    <xf numFmtId="43" fontId="56" fillId="27" borderId="0" xfId="337" applyNumberFormat="1" applyFont="1" applyFill="1" applyBorder="1"/>
    <xf numFmtId="43" fontId="72" fillId="27" borderId="23" xfId="0" applyNumberFormat="1" applyFont="1" applyFill="1" applyBorder="1" applyAlignment="1">
      <alignment horizontal="center" vertical="center"/>
    </xf>
    <xf numFmtId="43" fontId="72" fillId="27" borderId="19" xfId="0" applyNumberFormat="1" applyFont="1" applyFill="1" applyBorder="1" applyAlignment="1">
      <alignment horizontal="center" vertical="center"/>
    </xf>
    <xf numFmtId="174" fontId="72" fillId="27" borderId="23" xfId="447" applyFont="1" applyFill="1" applyBorder="1" applyAlignment="1">
      <alignment horizontal="center" vertical="center" wrapText="1"/>
    </xf>
    <xf numFmtId="174" fontId="72" fillId="27" borderId="16" xfId="447" applyFont="1" applyFill="1" applyBorder="1" applyAlignment="1">
      <alignment horizontal="center" vertical="center" wrapText="1"/>
    </xf>
    <xf numFmtId="174" fontId="72" fillId="27" borderId="13" xfId="447" applyFont="1" applyFill="1" applyBorder="1" applyAlignment="1">
      <alignment horizontal="center" vertical="center"/>
    </xf>
    <xf numFmtId="1" fontId="72" fillId="27" borderId="19" xfId="0" applyNumberFormat="1" applyFont="1" applyFill="1" applyBorder="1" applyAlignment="1">
      <alignment horizontal="center"/>
    </xf>
    <xf numFmtId="1" fontId="72" fillId="27" borderId="14" xfId="0" applyNumberFormat="1" applyFont="1" applyFill="1" applyBorder="1" applyAlignment="1">
      <alignment horizontal="center"/>
    </xf>
    <xf numFmtId="0" fontId="72" fillId="27" borderId="13" xfId="580" applyFont="1" applyFill="1" applyBorder="1" applyAlignment="1">
      <alignment horizontal="center"/>
    </xf>
    <xf numFmtId="0" fontId="69" fillId="27" borderId="13" xfId="580" applyFont="1" applyFill="1" applyBorder="1"/>
    <xf numFmtId="43" fontId="58" fillId="27" borderId="0" xfId="324" applyFont="1" applyFill="1" applyBorder="1"/>
    <xf numFmtId="0" fontId="72" fillId="27" borderId="23" xfId="580" applyFont="1" applyFill="1" applyBorder="1" applyAlignment="1">
      <alignment horizontal="center"/>
    </xf>
    <xf numFmtId="0" fontId="72" fillId="27" borderId="16" xfId="580" applyFont="1" applyFill="1" applyBorder="1" applyAlignment="1">
      <alignment horizontal="center"/>
    </xf>
    <xf numFmtId="174" fontId="49" fillId="0" borderId="0" xfId="449" applyFont="1"/>
    <xf numFmtId="174" fontId="0" fillId="0" borderId="0" xfId="449" applyFont="1"/>
    <xf numFmtId="174" fontId="49" fillId="0" borderId="0" xfId="449" applyFont="1" applyAlignment="1">
      <alignment horizontal="center"/>
    </xf>
    <xf numFmtId="4" fontId="30" fillId="0" borderId="0" xfId="736" applyNumberFormat="1" applyFont="1" applyFill="1" applyBorder="1" applyAlignment="1" applyProtection="1">
      <alignment horizontal="right"/>
    </xf>
    <xf numFmtId="2" fontId="9" fillId="27" borderId="0" xfId="1089" applyNumberFormat="1" applyFont="1" applyFill="1" applyBorder="1" applyAlignment="1" applyProtection="1">
      <alignment horizontal="right"/>
    </xf>
    <xf numFmtId="2" fontId="30" fillId="0" borderId="0" xfId="1089" applyNumberFormat="1" applyFont="1" applyBorder="1"/>
    <xf numFmtId="174" fontId="72" fillId="27" borderId="13" xfId="449" applyFont="1" applyFill="1" applyBorder="1" applyAlignment="1">
      <alignment horizontal="center" vertical="center"/>
    </xf>
    <xf numFmtId="174" fontId="72" fillId="27" borderId="23" xfId="449" applyFont="1" applyFill="1" applyBorder="1" applyAlignment="1">
      <alignment horizontal="center" vertical="center"/>
    </xf>
    <xf numFmtId="169" fontId="72" fillId="27" borderId="23" xfId="324" applyNumberFormat="1" applyFont="1" applyFill="1" applyBorder="1" applyAlignment="1">
      <alignment vertical="center"/>
    </xf>
    <xf numFmtId="174" fontId="72" fillId="27" borderId="19" xfId="449" applyFont="1" applyFill="1" applyBorder="1" applyAlignment="1">
      <alignment horizontal="left" vertical="center"/>
    </xf>
    <xf numFmtId="43" fontId="58" fillId="27" borderId="0" xfId="324" applyFont="1" applyFill="1" applyBorder="1" applyAlignment="1">
      <alignment horizontal="right"/>
    </xf>
    <xf numFmtId="43" fontId="69" fillId="27" borderId="23" xfId="324" applyNumberFormat="1" applyFont="1" applyFill="1" applyBorder="1"/>
    <xf numFmtId="0" fontId="69" fillId="27" borderId="19" xfId="580" applyFont="1" applyFill="1" applyBorder="1" applyAlignment="1">
      <alignment horizontal="left"/>
    </xf>
    <xf numFmtId="10" fontId="69" fillId="27" borderId="24" xfId="580" applyNumberFormat="1" applyFont="1" applyFill="1" applyBorder="1"/>
    <xf numFmtId="171" fontId="69" fillId="27" borderId="16" xfId="580" applyNumberFormat="1" applyFont="1" applyFill="1" applyBorder="1"/>
    <xf numFmtId="174" fontId="72" fillId="0" borderId="23" xfId="0" applyFont="1" applyFill="1" applyBorder="1" applyAlignment="1">
      <alignment horizontal="center" vertical="center" wrapText="1"/>
    </xf>
    <xf numFmtId="174" fontId="72" fillId="0" borderId="16" xfId="0" applyFont="1" applyFill="1" applyBorder="1" applyAlignment="1">
      <alignment horizontal="center" vertical="center" wrapText="1"/>
    </xf>
    <xf numFmtId="174" fontId="0" fillId="0" borderId="0" xfId="451" applyFont="1" applyBorder="1" applyAlignment="1">
      <alignment vertical="center" wrapText="1"/>
    </xf>
    <xf numFmtId="174" fontId="85" fillId="0" borderId="23" xfId="634" applyFont="1" applyFill="1" applyBorder="1" applyAlignment="1">
      <alignment horizontal="center" vertical="center" wrapText="1"/>
    </xf>
    <xf numFmtId="174" fontId="85" fillId="0" borderId="16" xfId="634" applyFont="1" applyFill="1" applyBorder="1" applyAlignment="1">
      <alignment horizontal="center" vertical="center" wrapText="1"/>
    </xf>
    <xf numFmtId="174" fontId="85" fillId="0" borderId="13" xfId="634" applyFont="1" applyFill="1" applyBorder="1" applyAlignment="1">
      <alignment horizontal="center" vertical="center"/>
    </xf>
    <xf numFmtId="17" fontId="85" fillId="0" borderId="19" xfId="634" applyNumberFormat="1" applyFont="1" applyFill="1" applyBorder="1" applyAlignment="1">
      <alignment horizontal="center"/>
    </xf>
    <xf numFmtId="17" fontId="85" fillId="0" borderId="14" xfId="634" applyNumberFormat="1" applyFont="1" applyFill="1" applyBorder="1" applyAlignment="1">
      <alignment horizontal="center"/>
    </xf>
    <xf numFmtId="43" fontId="71" fillId="0" borderId="13" xfId="0" applyNumberFormat="1" applyFont="1" applyFill="1" applyBorder="1" applyAlignment="1">
      <alignment horizontal="center" vertical="center"/>
    </xf>
    <xf numFmtId="17" fontId="72" fillId="0" borderId="13" xfId="0" applyNumberFormat="1" applyFont="1" applyFill="1" applyBorder="1" applyAlignment="1">
      <alignment horizontal="center"/>
    </xf>
    <xf numFmtId="43" fontId="56" fillId="0" borderId="0" xfId="0" applyNumberFormat="1" applyFont="1" applyFill="1" applyBorder="1" applyAlignment="1">
      <alignment horizontal="right"/>
    </xf>
    <xf numFmtId="43" fontId="56" fillId="0" borderId="0" xfId="324" applyNumberFormat="1" applyFont="1" applyFill="1" applyBorder="1" applyAlignment="1">
      <alignment horizontal="right"/>
    </xf>
    <xf numFmtId="10" fontId="71" fillId="0" borderId="0" xfId="0" applyNumberFormat="1" applyFont="1" applyFill="1" applyBorder="1"/>
    <xf numFmtId="43" fontId="71" fillId="0" borderId="24" xfId="324" applyFont="1" applyFill="1" applyBorder="1"/>
    <xf numFmtId="43" fontId="72" fillId="0" borderId="23" xfId="0" applyNumberFormat="1" applyFont="1" applyFill="1" applyBorder="1" applyAlignment="1">
      <alignment horizontal="center" vertical="center" wrapText="1"/>
    </xf>
    <xf numFmtId="43" fontId="72" fillId="0" borderId="23" xfId="324" applyNumberFormat="1" applyFont="1" applyFill="1" applyBorder="1" applyAlignment="1">
      <alignment horizontal="center" vertical="center" wrapText="1"/>
    </xf>
    <xf numFmtId="43" fontId="72" fillId="0" borderId="16" xfId="324" applyNumberFormat="1" applyFont="1" applyFill="1" applyBorder="1" applyAlignment="1">
      <alignment horizontal="center" vertical="center" wrapText="1"/>
    </xf>
    <xf numFmtId="0" fontId="72" fillId="0" borderId="19" xfId="0" applyNumberFormat="1" applyFont="1" applyFill="1" applyBorder="1" applyAlignment="1">
      <alignment horizontal="center"/>
    </xf>
    <xf numFmtId="43" fontId="71" fillId="0" borderId="23" xfId="0" applyNumberFormat="1" applyFont="1" applyFill="1" applyBorder="1" applyAlignment="1">
      <alignment horizontal="right"/>
    </xf>
    <xf numFmtId="10" fontId="71" fillId="0" borderId="23" xfId="0" applyNumberFormat="1" applyFont="1" applyFill="1" applyBorder="1"/>
    <xf numFmtId="43" fontId="71" fillId="0" borderId="16" xfId="324" applyFont="1" applyFill="1" applyBorder="1"/>
    <xf numFmtId="10" fontId="72" fillId="0" borderId="0" xfId="0" applyNumberFormat="1" applyFont="1" applyFill="1" applyBorder="1"/>
    <xf numFmtId="43" fontId="56" fillId="27" borderId="0" xfId="0" applyNumberFormat="1" applyFont="1" applyFill="1" applyBorder="1" applyAlignment="1">
      <alignment horizontal="right"/>
    </xf>
    <xf numFmtId="43" fontId="56" fillId="27" borderId="0" xfId="324" applyNumberFormat="1" applyFont="1" applyFill="1" applyBorder="1" applyAlignment="1">
      <alignment horizontal="right"/>
    </xf>
    <xf numFmtId="10" fontId="72" fillId="27" borderId="0" xfId="0" applyNumberFormat="1" applyFont="1" applyFill="1" applyBorder="1" applyAlignment="1">
      <alignment horizontal="right"/>
    </xf>
    <xf numFmtId="43" fontId="72" fillId="27" borderId="23" xfId="324" applyNumberFormat="1" applyFont="1" applyFill="1" applyBorder="1" applyAlignment="1">
      <alignment horizontal="center" vertical="center" wrapText="1"/>
    </xf>
    <xf numFmtId="43" fontId="72" fillId="27" borderId="23" xfId="0" applyNumberFormat="1" applyFont="1" applyFill="1" applyBorder="1" applyAlignment="1">
      <alignment horizontal="right" vertical="center"/>
    </xf>
    <xf numFmtId="10" fontId="72" fillId="27" borderId="23" xfId="0" applyNumberFormat="1" applyFont="1" applyFill="1" applyBorder="1" applyAlignment="1">
      <alignment vertical="center"/>
    </xf>
    <xf numFmtId="43" fontId="72" fillId="27" borderId="23" xfId="324" applyNumberFormat="1" applyFont="1" applyFill="1" applyBorder="1" applyAlignment="1">
      <alignment horizontal="right" vertical="center"/>
    </xf>
    <xf numFmtId="174" fontId="69" fillId="27" borderId="13" xfId="0" applyNumberFormat="1" applyFont="1" applyFill="1" applyBorder="1" applyAlignment="1">
      <alignment horizontal="center" vertical="center"/>
    </xf>
    <xf numFmtId="43" fontId="72" fillId="27" borderId="13" xfId="324" applyNumberFormat="1" applyFont="1" applyFill="1" applyBorder="1" applyAlignment="1">
      <alignment horizontal="center" vertical="center" wrapText="1"/>
    </xf>
    <xf numFmtId="43" fontId="72" fillId="27" borderId="19" xfId="0" applyNumberFormat="1" applyFont="1" applyFill="1" applyBorder="1" applyAlignment="1">
      <alignment vertical="center"/>
    </xf>
    <xf numFmtId="0" fontId="65" fillId="27" borderId="13" xfId="0" applyNumberFormat="1" applyFont="1" applyFill="1" applyBorder="1" applyAlignment="1">
      <alignment horizontal="center" vertical="center"/>
    </xf>
    <xf numFmtId="174" fontId="65" fillId="27" borderId="19" xfId="0" applyFont="1" applyFill="1" applyBorder="1" applyAlignment="1">
      <alignment vertical="center"/>
    </xf>
    <xf numFmtId="0" fontId="85" fillId="27" borderId="13" xfId="0" applyNumberFormat="1" applyFont="1" applyFill="1" applyBorder="1" applyAlignment="1">
      <alignment horizontal="center" vertical="center"/>
    </xf>
    <xf numFmtId="181" fontId="85" fillId="27" borderId="13" xfId="0" applyNumberFormat="1" applyFont="1" applyFill="1" applyBorder="1" applyAlignment="1">
      <alignment horizontal="center" vertical="center"/>
    </xf>
    <xf numFmtId="181" fontId="86" fillId="27" borderId="0" xfId="0" applyNumberFormat="1" applyFont="1" applyFill="1" applyBorder="1" applyAlignment="1">
      <alignment horizontal="center" vertical="center"/>
    </xf>
    <xf numFmtId="0" fontId="85" fillId="27" borderId="23" xfId="0" applyNumberFormat="1" applyFont="1" applyFill="1" applyBorder="1" applyAlignment="1">
      <alignment horizontal="center" vertical="center"/>
    </xf>
    <xf numFmtId="181" fontId="85" fillId="27" borderId="23" xfId="0" applyNumberFormat="1" applyFont="1" applyFill="1" applyBorder="1" applyAlignment="1">
      <alignment horizontal="center" vertical="center"/>
    </xf>
    <xf numFmtId="174" fontId="85" fillId="27" borderId="19" xfId="0" applyFont="1" applyFill="1" applyBorder="1" applyAlignment="1">
      <alignment vertical="center"/>
    </xf>
    <xf numFmtId="181" fontId="85" fillId="27" borderId="19" xfId="0" applyNumberFormat="1" applyFont="1" applyFill="1" applyBorder="1" applyAlignment="1">
      <alignment horizontal="center" vertical="center"/>
    </xf>
    <xf numFmtId="43" fontId="86" fillId="27" borderId="0" xfId="608" applyFont="1" applyFill="1" applyBorder="1" applyAlignment="1">
      <alignment horizontal="right"/>
    </xf>
    <xf numFmtId="174" fontId="85" fillId="27" borderId="13" xfId="0" applyFont="1" applyFill="1" applyBorder="1" applyAlignment="1">
      <alignment horizontal="center" vertical="center" wrapText="1"/>
    </xf>
    <xf numFmtId="174" fontId="85" fillId="27" borderId="19" xfId="0" applyFont="1" applyFill="1" applyBorder="1" applyAlignment="1">
      <alignment horizontal="left" vertical="center" wrapText="1"/>
    </xf>
    <xf numFmtId="43" fontId="85" fillId="27" borderId="19" xfId="608" applyFont="1" applyFill="1" applyBorder="1" applyAlignment="1">
      <alignment horizontal="right"/>
    </xf>
    <xf numFmtId="174" fontId="85" fillId="27" borderId="12" xfId="0" applyFont="1" applyFill="1" applyBorder="1" applyAlignment="1">
      <alignment horizontal="left" vertical="center" wrapText="1"/>
    </xf>
    <xf numFmtId="174" fontId="0" fillId="0" borderId="12" xfId="0" applyBorder="1"/>
    <xf numFmtId="3" fontId="56" fillId="27" borderId="20" xfId="324" applyNumberFormat="1" applyFont="1" applyFill="1" applyBorder="1" applyAlignment="1">
      <alignment horizontal="center" vertical="center"/>
    </xf>
    <xf numFmtId="174" fontId="71" fillId="27" borderId="13" xfId="0" applyFont="1" applyFill="1" applyBorder="1" applyAlignment="1">
      <alignment horizontal="center" vertical="center"/>
    </xf>
    <xf numFmtId="174" fontId="72" fillId="27" borderId="13" xfId="0" applyFont="1" applyFill="1" applyBorder="1" applyAlignment="1">
      <alignment horizontal="center" vertical="center"/>
    </xf>
    <xf numFmtId="49" fontId="72" fillId="27" borderId="13" xfId="0" applyNumberFormat="1" applyFont="1" applyFill="1" applyBorder="1" applyAlignment="1">
      <alignment horizontal="center" vertical="center" wrapText="1"/>
    </xf>
    <xf numFmtId="171" fontId="72" fillId="27" borderId="13" xfId="0" applyNumberFormat="1" applyFont="1" applyFill="1" applyBorder="1" applyAlignment="1">
      <alignment vertical="center"/>
    </xf>
    <xf numFmtId="174" fontId="85" fillId="0" borderId="24" xfId="0" applyFont="1" applyFill="1" applyBorder="1" applyAlignment="1">
      <alignment horizontal="center" vertical="center" wrapText="1"/>
    </xf>
    <xf numFmtId="167" fontId="56" fillId="27" borderId="0" xfId="324" applyNumberFormat="1" applyFont="1" applyFill="1" applyBorder="1" applyAlignment="1">
      <alignment vertical="center"/>
    </xf>
    <xf numFmtId="49" fontId="72" fillId="27" borderId="23" xfId="0" applyNumberFormat="1" applyFont="1" applyFill="1" applyBorder="1" applyAlignment="1">
      <alignment horizontal="center" vertical="center" wrapText="1"/>
    </xf>
    <xf numFmtId="49" fontId="72" fillId="27" borderId="16" xfId="0" applyNumberFormat="1" applyFont="1" applyFill="1" applyBorder="1" applyAlignment="1">
      <alignment horizontal="center" vertical="center" wrapText="1"/>
    </xf>
    <xf numFmtId="49" fontId="72" fillId="27" borderId="19" xfId="0" applyNumberFormat="1" applyFont="1" applyFill="1" applyBorder="1" applyAlignment="1">
      <alignment horizontal="left"/>
    </xf>
    <xf numFmtId="49" fontId="72" fillId="27" borderId="19" xfId="0" applyNumberFormat="1" applyFont="1" applyFill="1" applyBorder="1" applyAlignment="1">
      <alignment horizontal="left" vertical="center"/>
    </xf>
    <xf numFmtId="167" fontId="72" fillId="27" borderId="23" xfId="0" applyNumberFormat="1" applyFont="1" applyFill="1" applyBorder="1" applyAlignment="1">
      <alignment vertical="center" wrapText="1"/>
    </xf>
    <xf numFmtId="49" fontId="72" fillId="27" borderId="15" xfId="0" applyNumberFormat="1" applyFont="1" applyFill="1" applyBorder="1" applyAlignment="1">
      <alignment horizontal="center" vertical="center" wrapText="1"/>
    </xf>
    <xf numFmtId="167" fontId="72" fillId="27" borderId="20" xfId="0" applyNumberFormat="1" applyFont="1" applyFill="1" applyBorder="1" applyAlignment="1">
      <alignment horizontal="center" wrapText="1"/>
    </xf>
    <xf numFmtId="167" fontId="72" fillId="27" borderId="15" xfId="0" applyNumberFormat="1" applyFont="1" applyFill="1" applyBorder="1" applyAlignment="1">
      <alignment vertical="center" wrapText="1"/>
    </xf>
    <xf numFmtId="171" fontId="72" fillId="27" borderId="19" xfId="0" applyNumberFormat="1" applyFont="1" applyFill="1" applyBorder="1"/>
    <xf numFmtId="171" fontId="72" fillId="27" borderId="19" xfId="0" applyNumberFormat="1" applyFont="1" applyFill="1" applyBorder="1" applyAlignment="1">
      <alignment vertical="center"/>
    </xf>
    <xf numFmtId="49" fontId="71" fillId="27" borderId="13" xfId="0" applyNumberFormat="1" applyFont="1" applyFill="1" applyBorder="1" applyAlignment="1">
      <alignment horizontal="center" wrapText="1"/>
    </xf>
    <xf numFmtId="167" fontId="64" fillId="27" borderId="0" xfId="324" applyNumberFormat="1" applyFont="1" applyFill="1" applyBorder="1"/>
    <xf numFmtId="167" fontId="71" fillId="27" borderId="0" xfId="0" applyNumberFormat="1" applyFont="1" applyFill="1" applyBorder="1" applyAlignment="1">
      <alignment horizontal="center" wrapText="1"/>
    </xf>
    <xf numFmtId="49" fontId="71" fillId="27" borderId="23" xfId="0" applyNumberFormat="1" applyFont="1" applyFill="1" applyBorder="1" applyAlignment="1">
      <alignment horizontal="center" vertical="center" wrapText="1"/>
    </xf>
    <xf numFmtId="49" fontId="71" fillId="27" borderId="16" xfId="0" applyNumberFormat="1" applyFont="1" applyFill="1" applyBorder="1" applyAlignment="1">
      <alignment horizontal="center" vertical="center" wrapText="1"/>
    </xf>
    <xf numFmtId="49" fontId="71" fillId="27" borderId="19" xfId="0" applyNumberFormat="1" applyFont="1" applyFill="1" applyBorder="1" applyAlignment="1">
      <alignment horizontal="center"/>
    </xf>
    <xf numFmtId="167" fontId="71" fillId="27" borderId="23" xfId="0" applyNumberFormat="1" applyFont="1" applyFill="1" applyBorder="1" applyAlignment="1">
      <alignment horizontal="center" wrapText="1"/>
    </xf>
    <xf numFmtId="10" fontId="71" fillId="27" borderId="23" xfId="0" applyNumberFormat="1" applyFont="1" applyFill="1" applyBorder="1"/>
    <xf numFmtId="10" fontId="71" fillId="27" borderId="16" xfId="0" applyNumberFormat="1" applyFont="1" applyFill="1" applyBorder="1"/>
    <xf numFmtId="167" fontId="72" fillId="27" borderId="0" xfId="324" applyNumberFormat="1" applyFont="1" applyFill="1" applyBorder="1"/>
    <xf numFmtId="171" fontId="72" fillId="27" borderId="23" xfId="0" applyNumberFormat="1" applyFont="1" applyFill="1" applyBorder="1"/>
    <xf numFmtId="171" fontId="72" fillId="27" borderId="16" xfId="0" applyNumberFormat="1" applyFont="1" applyFill="1" applyBorder="1"/>
    <xf numFmtId="167" fontId="72" fillId="27" borderId="13" xfId="0" applyNumberFormat="1" applyFont="1" applyFill="1" applyBorder="1" applyAlignment="1">
      <alignment horizontal="right" wrapText="1"/>
    </xf>
    <xf numFmtId="49" fontId="72" fillId="27" borderId="13" xfId="0" applyNumberFormat="1" applyFont="1" applyFill="1" applyBorder="1" applyAlignment="1">
      <alignment horizontal="center" wrapText="1"/>
    </xf>
    <xf numFmtId="167" fontId="56" fillId="27" borderId="0" xfId="324" applyNumberFormat="1" applyFont="1" applyFill="1" applyBorder="1" applyAlignment="1">
      <alignment horizontal="right"/>
    </xf>
    <xf numFmtId="167" fontId="72" fillId="27" borderId="23" xfId="0" applyNumberFormat="1" applyFont="1" applyFill="1" applyBorder="1" applyAlignment="1">
      <alignment horizontal="right" wrapText="1"/>
    </xf>
    <xf numFmtId="10" fontId="72" fillId="27" borderId="23" xfId="0" applyNumberFormat="1" applyFont="1" applyFill="1" applyBorder="1" applyAlignment="1">
      <alignment horizontal="right"/>
    </xf>
    <xf numFmtId="10" fontId="72" fillId="27" borderId="16" xfId="0" applyNumberFormat="1" applyFont="1" applyFill="1" applyBorder="1" applyAlignment="1">
      <alignment horizontal="right"/>
    </xf>
    <xf numFmtId="10" fontId="72" fillId="27" borderId="24" xfId="0" applyNumberFormat="1" applyFont="1" applyFill="1" applyBorder="1" applyAlignment="1">
      <alignment horizontal="right"/>
    </xf>
    <xf numFmtId="167" fontId="72" fillId="27" borderId="19" xfId="0" applyNumberFormat="1" applyFont="1" applyFill="1" applyBorder="1" applyAlignment="1">
      <alignment horizontal="right" wrapText="1"/>
    </xf>
    <xf numFmtId="167" fontId="72" fillId="27" borderId="14" xfId="0" applyNumberFormat="1" applyFont="1" applyFill="1" applyBorder="1" applyAlignment="1">
      <alignment horizontal="right" wrapText="1"/>
    </xf>
    <xf numFmtId="49" fontId="71" fillId="27" borderId="13" xfId="0" applyNumberFormat="1" applyFont="1" applyFill="1" applyBorder="1" applyAlignment="1">
      <alignment horizontal="center" vertical="center" wrapText="1"/>
    </xf>
    <xf numFmtId="49" fontId="71" fillId="0" borderId="13" xfId="0" applyNumberFormat="1" applyFont="1" applyFill="1" applyBorder="1" applyAlignment="1">
      <alignment horizontal="center" vertical="center" wrapText="1"/>
    </xf>
    <xf numFmtId="49" fontId="55" fillId="0" borderId="20" xfId="0" applyNumberFormat="1" applyFont="1" applyFill="1" applyBorder="1" applyAlignment="1">
      <alignment horizontal="center" vertical="center" wrapText="1"/>
    </xf>
    <xf numFmtId="167" fontId="72" fillId="27" borderId="0" xfId="0" applyNumberFormat="1" applyFont="1" applyFill="1" applyBorder="1" applyAlignment="1">
      <alignment horizontal="center" vertical="center" wrapText="1"/>
    </xf>
    <xf numFmtId="167" fontId="64" fillId="27" borderId="0" xfId="324" applyNumberFormat="1" applyFont="1" applyFill="1" applyBorder="1" applyAlignment="1">
      <alignment vertical="center"/>
    </xf>
    <xf numFmtId="167" fontId="71" fillId="27" borderId="0" xfId="324" applyNumberFormat="1" applyFont="1" applyFill="1" applyBorder="1" applyAlignment="1">
      <alignment vertical="center"/>
    </xf>
    <xf numFmtId="49" fontId="71" fillId="27" borderId="15" xfId="0" applyNumberFormat="1" applyFont="1" applyFill="1" applyBorder="1" applyAlignment="1">
      <alignment horizontal="center" vertical="center" wrapText="1"/>
    </xf>
    <xf numFmtId="49" fontId="71" fillId="27" borderId="19" xfId="0" applyNumberFormat="1" applyFont="1" applyFill="1" applyBorder="1" applyAlignment="1">
      <alignment horizontal="center" vertical="center" wrapText="1"/>
    </xf>
    <xf numFmtId="167" fontId="72" fillId="27" borderId="11" xfId="0" applyNumberFormat="1" applyFont="1" applyFill="1" applyBorder="1" applyAlignment="1">
      <alignment horizontal="center" vertical="center" wrapText="1"/>
    </xf>
    <xf numFmtId="167" fontId="56" fillId="27" borderId="20" xfId="324" applyNumberFormat="1" applyFont="1" applyFill="1" applyBorder="1" applyAlignment="1">
      <alignment vertical="center"/>
    </xf>
    <xf numFmtId="167" fontId="56" fillId="27" borderId="18" xfId="324" applyNumberFormat="1" applyFont="1" applyFill="1" applyBorder="1" applyAlignment="1">
      <alignment vertical="center"/>
    </xf>
    <xf numFmtId="167" fontId="56" fillId="27" borderId="11" xfId="324" applyNumberFormat="1" applyFont="1" applyFill="1" applyBorder="1" applyAlignment="1">
      <alignment vertical="center"/>
    </xf>
    <xf numFmtId="167" fontId="64" fillId="0" borderId="0" xfId="324" applyNumberFormat="1" applyFont="1" applyFill="1" applyBorder="1"/>
    <xf numFmtId="167" fontId="64" fillId="0" borderId="0" xfId="324" applyNumberFormat="1" applyFont="1" applyFill="1" applyBorder="1" applyAlignment="1">
      <alignment vertical="center"/>
    </xf>
    <xf numFmtId="167" fontId="56" fillId="0" borderId="0" xfId="324" applyNumberFormat="1" applyFont="1" applyFill="1" applyBorder="1"/>
    <xf numFmtId="171" fontId="72" fillId="27" borderId="0" xfId="0" applyNumberFormat="1" applyFont="1" applyFill="1" applyBorder="1"/>
    <xf numFmtId="167" fontId="72" fillId="27" borderId="0" xfId="324" applyNumberFormat="1" applyFont="1" applyFill="1" applyBorder="1" applyAlignment="1">
      <alignment vertical="center"/>
    </xf>
    <xf numFmtId="171" fontId="72" fillId="27" borderId="0" xfId="0" applyNumberFormat="1" applyFont="1" applyFill="1" applyBorder="1" applyAlignment="1">
      <alignment vertical="center"/>
    </xf>
    <xf numFmtId="167" fontId="72" fillId="27" borderId="23" xfId="324" applyNumberFormat="1" applyFont="1" applyFill="1" applyBorder="1" applyAlignment="1">
      <alignment vertical="center"/>
    </xf>
    <xf numFmtId="171" fontId="72" fillId="27" borderId="24" xfId="0" applyNumberFormat="1" applyFont="1" applyFill="1" applyBorder="1"/>
    <xf numFmtId="171" fontId="72" fillId="27" borderId="12" xfId="0" applyNumberFormat="1" applyFont="1" applyFill="1" applyBorder="1"/>
    <xf numFmtId="167" fontId="56" fillId="27" borderId="12" xfId="324" applyNumberFormat="1" applyFont="1" applyFill="1" applyBorder="1"/>
    <xf numFmtId="171" fontId="72" fillId="27" borderId="25" xfId="0" applyNumberFormat="1" applyFont="1" applyFill="1" applyBorder="1"/>
    <xf numFmtId="171" fontId="72" fillId="27" borderId="11" xfId="0" applyNumberFormat="1" applyFont="1" applyFill="1" applyBorder="1" applyAlignment="1">
      <alignment vertical="center"/>
    </xf>
    <xf numFmtId="171" fontId="72" fillId="27" borderId="11" xfId="0" applyNumberFormat="1" applyFont="1" applyFill="1" applyBorder="1"/>
    <xf numFmtId="171" fontId="72" fillId="27" borderId="22" xfId="0" applyNumberFormat="1" applyFont="1" applyFill="1" applyBorder="1"/>
    <xf numFmtId="174" fontId="72" fillId="27" borderId="15" xfId="0" applyFont="1" applyFill="1" applyBorder="1" applyAlignment="1">
      <alignment horizontal="center" vertical="center" wrapText="1"/>
    </xf>
    <xf numFmtId="167" fontId="56" fillId="27" borderId="21" xfId="324" applyNumberFormat="1" applyFont="1" applyFill="1" applyBorder="1"/>
    <xf numFmtId="167" fontId="72" fillId="27" borderId="12" xfId="324" applyNumberFormat="1" applyFont="1" applyFill="1" applyBorder="1"/>
    <xf numFmtId="167" fontId="56" fillId="27" borderId="20" xfId="324" applyNumberFormat="1" applyFont="1" applyFill="1" applyBorder="1"/>
    <xf numFmtId="167" fontId="72" fillId="27" borderId="11" xfId="324" applyNumberFormat="1" applyFont="1" applyFill="1" applyBorder="1"/>
    <xf numFmtId="174" fontId="72" fillId="27" borderId="15" xfId="0" applyFont="1" applyFill="1" applyBorder="1" applyAlignment="1">
      <alignment horizontal="center" vertical="center"/>
    </xf>
    <xf numFmtId="167" fontId="72" fillId="27" borderId="15" xfId="324" applyNumberFormat="1" applyFont="1" applyFill="1" applyBorder="1" applyAlignment="1">
      <alignment vertical="center"/>
    </xf>
    <xf numFmtId="167" fontId="72" fillId="27" borderId="16" xfId="324" applyNumberFormat="1" applyFont="1" applyFill="1" applyBorder="1" applyAlignment="1">
      <alignment vertical="center"/>
    </xf>
    <xf numFmtId="167" fontId="72" fillId="27" borderId="23" xfId="0" applyNumberFormat="1" applyFont="1" applyFill="1" applyBorder="1" applyAlignment="1">
      <alignment horizontal="center" wrapText="1"/>
    </xf>
    <xf numFmtId="167" fontId="56" fillId="27" borderId="11" xfId="324" applyNumberFormat="1" applyFont="1" applyFill="1" applyBorder="1"/>
    <xf numFmtId="167" fontId="64" fillId="27" borderId="0" xfId="324" applyNumberFormat="1" applyFont="1" applyFill="1" applyBorder="1" applyAlignment="1">
      <alignment horizontal="right"/>
    </xf>
    <xf numFmtId="49" fontId="54" fillId="27" borderId="23" xfId="0" applyNumberFormat="1" applyFont="1" applyFill="1" applyBorder="1" applyAlignment="1">
      <alignment horizontal="center" vertical="center" wrapText="1"/>
    </xf>
    <xf numFmtId="49" fontId="54" fillId="27" borderId="16" xfId="0" applyNumberFormat="1" applyFont="1" applyFill="1" applyBorder="1" applyAlignment="1">
      <alignment horizontal="center" vertical="center" wrapText="1"/>
    </xf>
    <xf numFmtId="49" fontId="54" fillId="27" borderId="13" xfId="0" applyNumberFormat="1" applyFont="1" applyFill="1" applyBorder="1" applyAlignment="1">
      <alignment horizontal="center" vertical="center"/>
    </xf>
    <xf numFmtId="49" fontId="54" fillId="27" borderId="19" xfId="0" applyNumberFormat="1" applyFont="1" applyFill="1" applyBorder="1" applyAlignment="1">
      <alignment horizontal="center" vertical="center"/>
    </xf>
    <xf numFmtId="171" fontId="71" fillId="27" borderId="24" xfId="0" applyNumberFormat="1" applyFont="1" applyFill="1" applyBorder="1"/>
    <xf numFmtId="171" fontId="71" fillId="27" borderId="16" xfId="0" applyNumberFormat="1" applyFont="1" applyFill="1" applyBorder="1"/>
    <xf numFmtId="10" fontId="72" fillId="27" borderId="0" xfId="0" applyNumberFormat="1" applyFont="1" applyFill="1" applyBorder="1" applyAlignment="1">
      <alignment vertical="center"/>
    </xf>
    <xf numFmtId="10" fontId="72" fillId="27" borderId="16" xfId="0" applyNumberFormat="1" applyFont="1" applyFill="1" applyBorder="1" applyAlignment="1">
      <alignment vertical="center"/>
    </xf>
    <xf numFmtId="167" fontId="56" fillId="27" borderId="20" xfId="324" applyNumberFormat="1" applyFont="1" applyFill="1" applyBorder="1" applyAlignment="1">
      <alignment horizontal="right"/>
    </xf>
    <xf numFmtId="10" fontId="72" fillId="27" borderId="24" xfId="0" applyNumberFormat="1" applyFont="1" applyFill="1" applyBorder="1" applyAlignment="1">
      <alignment vertical="center"/>
    </xf>
    <xf numFmtId="167" fontId="72" fillId="27" borderId="15" xfId="0" applyNumberFormat="1" applyFont="1" applyFill="1" applyBorder="1" applyAlignment="1">
      <alignment horizontal="center" wrapText="1"/>
    </xf>
    <xf numFmtId="10" fontId="54" fillId="27" borderId="0" xfId="0" applyNumberFormat="1" applyFont="1" applyFill="1" applyBorder="1" applyAlignment="1">
      <alignment horizontal="right"/>
    </xf>
    <xf numFmtId="167" fontId="71" fillId="27" borderId="23" xfId="0" applyNumberFormat="1" applyFont="1" applyFill="1" applyBorder="1" applyAlignment="1">
      <alignment horizontal="right" wrapText="1"/>
    </xf>
    <xf numFmtId="10" fontId="54" fillId="27" borderId="23" xfId="0" applyNumberFormat="1" applyFont="1" applyFill="1" applyBorder="1" applyAlignment="1">
      <alignment horizontal="right"/>
    </xf>
    <xf numFmtId="10" fontId="54" fillId="27" borderId="16" xfId="0" applyNumberFormat="1" applyFont="1" applyFill="1" applyBorder="1" applyAlignment="1">
      <alignment horizontal="right"/>
    </xf>
    <xf numFmtId="10" fontId="54" fillId="27" borderId="24" xfId="0" applyNumberFormat="1" applyFont="1" applyFill="1" applyBorder="1" applyAlignment="1">
      <alignment horizontal="right"/>
    </xf>
    <xf numFmtId="167" fontId="71" fillId="0" borderId="0" xfId="0" applyNumberFormat="1" applyFont="1" applyFill="1" applyBorder="1" applyAlignment="1">
      <alignment horizontal="center" vertical="center" wrapText="1"/>
    </xf>
    <xf numFmtId="171" fontId="64" fillId="0" borderId="0" xfId="0" applyNumberFormat="1" applyFont="1" applyFill="1" applyBorder="1" applyAlignment="1">
      <alignment vertical="center"/>
    </xf>
    <xf numFmtId="49" fontId="71" fillId="0" borderId="23" xfId="0" applyNumberFormat="1" applyFont="1" applyFill="1" applyBorder="1" applyAlignment="1">
      <alignment horizontal="center" vertical="center" wrapText="1"/>
    </xf>
    <xf numFmtId="49" fontId="71" fillId="0" borderId="16" xfId="0" applyNumberFormat="1" applyFont="1" applyFill="1" applyBorder="1" applyAlignment="1">
      <alignment horizontal="center" vertical="center" wrapText="1"/>
    </xf>
    <xf numFmtId="174" fontId="71" fillId="0" borderId="13" xfId="0" applyFont="1" applyFill="1" applyBorder="1" applyAlignment="1">
      <alignment horizontal="center" vertical="center"/>
    </xf>
    <xf numFmtId="49" fontId="71" fillId="0" borderId="19" xfId="0" applyNumberFormat="1" applyFont="1" applyFill="1" applyBorder="1" applyAlignment="1">
      <alignment horizontal="center" vertical="center"/>
    </xf>
    <xf numFmtId="171" fontId="64" fillId="0" borderId="24" xfId="0" applyNumberFormat="1" applyFont="1" applyFill="1" applyBorder="1" applyAlignment="1">
      <alignment vertical="center"/>
    </xf>
    <xf numFmtId="167" fontId="71" fillId="0" borderId="23" xfId="0" applyNumberFormat="1" applyFont="1" applyFill="1" applyBorder="1" applyAlignment="1">
      <alignment horizontal="center" vertical="center" wrapText="1"/>
    </xf>
    <xf numFmtId="171" fontId="71" fillId="0" borderId="23" xfId="0" applyNumberFormat="1" applyFont="1" applyFill="1" applyBorder="1" applyAlignment="1">
      <alignment vertical="center"/>
    </xf>
    <xf numFmtId="171" fontId="71" fillId="0" borderId="16" xfId="0" applyNumberFormat="1" applyFont="1" applyFill="1" applyBorder="1" applyAlignment="1">
      <alignment vertical="center"/>
    </xf>
    <xf numFmtId="174" fontId="72" fillId="0" borderId="13" xfId="0" applyFont="1" applyFill="1" applyBorder="1" applyAlignment="1">
      <alignment horizontal="center" vertical="center"/>
    </xf>
    <xf numFmtId="49" fontId="72" fillId="0" borderId="19" xfId="0" applyNumberFormat="1" applyFont="1" applyFill="1" applyBorder="1" applyAlignment="1">
      <alignment horizontal="center"/>
    </xf>
    <xf numFmtId="167" fontId="72" fillId="0" borderId="23" xfId="324" applyNumberFormat="1" applyFont="1" applyFill="1" applyBorder="1" applyAlignment="1">
      <alignment vertical="center"/>
    </xf>
    <xf numFmtId="10" fontId="69" fillId="0" borderId="23" xfId="0" applyNumberFormat="1" applyFont="1" applyFill="1" applyBorder="1" applyAlignment="1">
      <alignment vertical="center"/>
    </xf>
    <xf numFmtId="10" fontId="69" fillId="0" borderId="16" xfId="0" applyNumberFormat="1" applyFont="1" applyFill="1" applyBorder="1" applyAlignment="1">
      <alignment vertical="center"/>
    </xf>
    <xf numFmtId="10" fontId="69" fillId="0" borderId="0" xfId="0" applyNumberFormat="1" applyFont="1" applyFill="1" applyBorder="1"/>
    <xf numFmtId="10" fontId="69" fillId="0" borderId="24" xfId="0" applyNumberFormat="1" applyFont="1" applyFill="1" applyBorder="1"/>
    <xf numFmtId="174" fontId="71" fillId="0" borderId="13" xfId="0" applyFont="1" applyFill="1" applyBorder="1"/>
    <xf numFmtId="171" fontId="71" fillId="0" borderId="0" xfId="0" applyNumberFormat="1" applyFont="1" applyFill="1" applyBorder="1"/>
    <xf numFmtId="171" fontId="71" fillId="0" borderId="24" xfId="0" applyNumberFormat="1" applyFont="1" applyFill="1" applyBorder="1"/>
    <xf numFmtId="174" fontId="71" fillId="0" borderId="23" xfId="0" applyFont="1" applyFill="1" applyBorder="1" applyAlignment="1">
      <alignment horizontal="center" vertical="center" wrapText="1"/>
    </xf>
    <xf numFmtId="174" fontId="71" fillId="0" borderId="16" xfId="0" applyFont="1" applyFill="1" applyBorder="1" applyAlignment="1">
      <alignment horizontal="center" vertical="center" wrapText="1"/>
    </xf>
    <xf numFmtId="49" fontId="71" fillId="0" borderId="19" xfId="0" applyNumberFormat="1" applyFont="1" applyFill="1" applyBorder="1" applyAlignment="1">
      <alignment horizontal="center"/>
    </xf>
    <xf numFmtId="0" fontId="71" fillId="0" borderId="19" xfId="0" applyNumberFormat="1" applyFont="1" applyFill="1" applyBorder="1" applyAlignment="1">
      <alignment horizontal="center"/>
    </xf>
    <xf numFmtId="167" fontId="71" fillId="0" borderId="23" xfId="324" applyNumberFormat="1" applyFont="1" applyFill="1" applyBorder="1"/>
    <xf numFmtId="171" fontId="71" fillId="0" borderId="23" xfId="0" applyNumberFormat="1" applyFont="1" applyFill="1" applyBorder="1"/>
    <xf numFmtId="171" fontId="71" fillId="0" borderId="16" xfId="0" applyNumberFormat="1" applyFont="1" applyFill="1" applyBorder="1"/>
    <xf numFmtId="167" fontId="71" fillId="27" borderId="0" xfId="324" applyNumberFormat="1" applyFont="1" applyFill="1" applyBorder="1"/>
    <xf numFmtId="10" fontId="71" fillId="27" borderId="0" xfId="324" applyNumberFormat="1" applyFont="1" applyFill="1" applyBorder="1"/>
    <xf numFmtId="10" fontId="71" fillId="27" borderId="24" xfId="324" applyNumberFormat="1" applyFont="1" applyFill="1" applyBorder="1"/>
    <xf numFmtId="167" fontId="71" fillId="27" borderId="0" xfId="324" applyNumberFormat="1" applyFont="1" applyFill="1" applyBorder="1" applyAlignment="1">
      <alignment horizontal="right"/>
    </xf>
    <xf numFmtId="171" fontId="71" fillId="27" borderId="0" xfId="324" applyNumberFormat="1" applyFont="1" applyFill="1" applyBorder="1" applyAlignment="1">
      <alignment horizontal="right"/>
    </xf>
    <xf numFmtId="167" fontId="72" fillId="27" borderId="0" xfId="324" applyNumberFormat="1" applyFont="1" applyFill="1" applyBorder="1" applyAlignment="1">
      <alignment horizontal="right"/>
    </xf>
    <xf numFmtId="49" fontId="71" fillId="27" borderId="13" xfId="0" applyNumberFormat="1" applyFont="1" applyFill="1" applyBorder="1" applyAlignment="1">
      <alignment horizontal="center" vertical="center"/>
    </xf>
    <xf numFmtId="171" fontId="71" fillId="27" borderId="23" xfId="0" applyNumberFormat="1" applyFont="1" applyFill="1" applyBorder="1"/>
    <xf numFmtId="49" fontId="71" fillId="0" borderId="20" xfId="0" applyNumberFormat="1" applyFont="1" applyFill="1" applyBorder="1" applyAlignment="1">
      <alignment horizontal="center" vertical="center" wrapText="1"/>
    </xf>
    <xf numFmtId="49" fontId="71" fillId="0" borderId="24" xfId="0" applyNumberFormat="1" applyFont="1" applyFill="1" applyBorder="1" applyAlignment="1">
      <alignment horizontal="center" vertical="center" wrapText="1"/>
    </xf>
    <xf numFmtId="174" fontId="83" fillId="27" borderId="0" xfId="0" applyFont="1" applyFill="1" applyBorder="1" applyAlignment="1">
      <alignment horizontal="center" vertical="center"/>
    </xf>
    <xf numFmtId="174" fontId="83" fillId="27" borderId="0" xfId="0" applyFont="1" applyFill="1" applyBorder="1"/>
    <xf numFmtId="49" fontId="71" fillId="27" borderId="23" xfId="0" applyNumberFormat="1" applyFont="1" applyFill="1" applyBorder="1" applyAlignment="1">
      <alignment horizontal="center" wrapText="1"/>
    </xf>
    <xf numFmtId="49" fontId="71" fillId="27" borderId="14" xfId="0" applyNumberFormat="1" applyFont="1" applyFill="1" applyBorder="1" applyAlignment="1">
      <alignment horizontal="center"/>
    </xf>
    <xf numFmtId="49" fontId="71" fillId="27" borderId="17" xfId="0" applyNumberFormat="1" applyFont="1" applyFill="1" applyBorder="1" applyAlignment="1">
      <alignment horizontal="center"/>
    </xf>
    <xf numFmtId="49" fontId="71" fillId="27" borderId="19" xfId="0" applyNumberFormat="1" applyFont="1" applyFill="1" applyBorder="1" applyAlignment="1">
      <alignment horizontal="center" vertical="center"/>
    </xf>
    <xf numFmtId="49" fontId="71" fillId="0" borderId="13" xfId="0" applyNumberFormat="1" applyFont="1" applyFill="1" applyBorder="1" applyAlignment="1">
      <alignment horizontal="center" vertical="center"/>
    </xf>
    <xf numFmtId="0" fontId="64" fillId="0" borderId="0" xfId="324" applyNumberFormat="1" applyFont="1" applyFill="1" applyBorder="1"/>
    <xf numFmtId="167" fontId="71" fillId="0" borderId="0" xfId="0" applyNumberFormat="1" applyFont="1" applyFill="1" applyBorder="1" applyAlignment="1">
      <alignment horizontal="center" wrapText="1"/>
    </xf>
    <xf numFmtId="49" fontId="71" fillId="0" borderId="15" xfId="0" applyNumberFormat="1" applyFont="1" applyFill="1" applyBorder="1" applyAlignment="1">
      <alignment horizontal="center" wrapText="1"/>
    </xf>
    <xf numFmtId="167" fontId="71" fillId="0" borderId="23" xfId="0" applyNumberFormat="1" applyFont="1" applyFill="1" applyBorder="1" applyAlignment="1">
      <alignment horizontal="center" wrapText="1"/>
    </xf>
    <xf numFmtId="171" fontId="71" fillId="0" borderId="23" xfId="0" applyNumberFormat="1" applyFont="1" applyFill="1" applyBorder="1" applyAlignment="1">
      <alignment horizontal="center" wrapText="1"/>
    </xf>
    <xf numFmtId="171" fontId="71" fillId="0" borderId="16" xfId="0" applyNumberFormat="1" applyFont="1" applyFill="1" applyBorder="1" applyAlignment="1">
      <alignment horizontal="center" wrapText="1"/>
    </xf>
    <xf numFmtId="49" fontId="72" fillId="0" borderId="14" xfId="0" applyNumberFormat="1" applyFont="1" applyFill="1" applyBorder="1" applyAlignment="1">
      <alignment horizontal="center"/>
    </xf>
    <xf numFmtId="167" fontId="71" fillId="27" borderId="23" xfId="0" applyNumberFormat="1" applyFont="1" applyFill="1" applyBorder="1" applyAlignment="1">
      <alignment horizontal="center" vertical="center" wrapText="1"/>
    </xf>
    <xf numFmtId="167" fontId="72" fillId="27" borderId="23" xfId="0" applyNumberFormat="1" applyFont="1" applyFill="1" applyBorder="1" applyAlignment="1">
      <alignment horizontal="center" vertical="center" wrapText="1"/>
    </xf>
    <xf numFmtId="10" fontId="71" fillId="27" borderId="23" xfId="0" applyNumberFormat="1" applyFont="1" applyFill="1" applyBorder="1" applyAlignment="1">
      <alignment vertical="center"/>
    </xf>
    <xf numFmtId="10" fontId="71" fillId="27" borderId="16" xfId="0" applyNumberFormat="1" applyFont="1" applyFill="1" applyBorder="1" applyAlignment="1">
      <alignment vertical="center"/>
    </xf>
    <xf numFmtId="10" fontId="71" fillId="27" borderId="0" xfId="324" applyNumberFormat="1" applyFont="1" applyFill="1" applyBorder="1" applyAlignment="1">
      <alignment horizontal="right" vertical="center"/>
    </xf>
    <xf numFmtId="10" fontId="71" fillId="27" borderId="24" xfId="324" applyNumberFormat="1" applyFont="1" applyFill="1" applyBorder="1" applyAlignment="1">
      <alignment horizontal="right" vertical="center"/>
    </xf>
    <xf numFmtId="167" fontId="71" fillId="27" borderId="0" xfId="324" applyNumberFormat="1" applyFont="1" applyFill="1" applyBorder="1" applyAlignment="1">
      <alignment horizontal="right" vertical="center"/>
    </xf>
    <xf numFmtId="167" fontId="72" fillId="27" borderId="0" xfId="324" applyNumberFormat="1" applyFont="1" applyFill="1" applyBorder="1" applyAlignment="1">
      <alignment horizontal="right" vertical="center"/>
    </xf>
    <xf numFmtId="10" fontId="71" fillId="27" borderId="0" xfId="324" applyNumberFormat="1" applyFont="1" applyFill="1" applyBorder="1" applyAlignment="1">
      <alignment horizontal="right"/>
    </xf>
    <xf numFmtId="10" fontId="71" fillId="27" borderId="24" xfId="324" applyNumberFormat="1" applyFont="1" applyFill="1" applyBorder="1" applyAlignment="1">
      <alignment horizontal="right"/>
    </xf>
    <xf numFmtId="10" fontId="69" fillId="27" borderId="24" xfId="0" applyNumberFormat="1" applyFont="1" applyFill="1" applyBorder="1" applyAlignment="1">
      <alignment vertical="center"/>
    </xf>
    <xf numFmtId="10" fontId="69" fillId="27" borderId="16" xfId="0" applyNumberFormat="1" applyFont="1" applyFill="1" applyBorder="1" applyAlignment="1">
      <alignment vertical="center"/>
    </xf>
    <xf numFmtId="167" fontId="72" fillId="27" borderId="19" xfId="0" applyNumberFormat="1" applyFont="1" applyFill="1" applyBorder="1" applyAlignment="1">
      <alignment horizontal="left" vertical="center" wrapText="1"/>
    </xf>
    <xf numFmtId="174" fontId="55" fillId="27" borderId="13" xfId="0" applyFont="1" applyFill="1" applyBorder="1" applyAlignment="1">
      <alignment horizontal="center" vertical="center"/>
    </xf>
    <xf numFmtId="49" fontId="55" fillId="27" borderId="13" xfId="0" applyNumberFormat="1" applyFont="1" applyFill="1" applyBorder="1" applyAlignment="1">
      <alignment horizontal="center" wrapText="1"/>
    </xf>
    <xf numFmtId="174" fontId="55" fillId="27" borderId="19" xfId="0" applyFont="1" applyFill="1" applyBorder="1" applyAlignment="1">
      <alignment horizontal="left" vertical="center"/>
    </xf>
    <xf numFmtId="3" fontId="72" fillId="27" borderId="0" xfId="324" applyNumberFormat="1" applyFont="1" applyFill="1" applyBorder="1" applyAlignment="1">
      <alignment horizontal="center" vertical="center"/>
    </xf>
    <xf numFmtId="3" fontId="56" fillId="27" borderId="0" xfId="0" applyNumberFormat="1" applyFont="1" applyFill="1" applyBorder="1" applyAlignment="1">
      <alignment horizontal="center" vertical="center"/>
    </xf>
    <xf numFmtId="3" fontId="72" fillId="27" borderId="0" xfId="0" applyNumberFormat="1" applyFont="1" applyFill="1" applyBorder="1" applyAlignment="1">
      <alignment horizontal="center" vertical="center"/>
    </xf>
    <xf numFmtId="3" fontId="56" fillId="27" borderId="24" xfId="324" applyNumberFormat="1" applyFont="1" applyFill="1" applyBorder="1" applyAlignment="1">
      <alignment horizontal="center" vertical="center"/>
    </xf>
    <xf numFmtId="3" fontId="72" fillId="27" borderId="11" xfId="324" applyNumberFormat="1" applyFont="1" applyFill="1" applyBorder="1" applyAlignment="1">
      <alignment horizontal="center" vertical="center"/>
    </xf>
    <xf numFmtId="3" fontId="72" fillId="27" borderId="11" xfId="0" applyNumberFormat="1" applyFont="1" applyFill="1" applyBorder="1" applyAlignment="1">
      <alignment horizontal="center" vertical="center"/>
    </xf>
    <xf numFmtId="3" fontId="56" fillId="27" borderId="11" xfId="324" applyNumberFormat="1" applyFont="1" applyFill="1" applyBorder="1" applyAlignment="1">
      <alignment horizontal="center" vertical="center"/>
    </xf>
    <xf numFmtId="3" fontId="56" fillId="27" borderId="22" xfId="324" applyNumberFormat="1" applyFont="1" applyFill="1" applyBorder="1" applyAlignment="1">
      <alignment horizontal="center" vertical="center"/>
    </xf>
    <xf numFmtId="14" fontId="72" fillId="27" borderId="13" xfId="0" applyNumberFormat="1" applyFont="1" applyFill="1" applyBorder="1" applyAlignment="1">
      <alignment horizontal="center" vertical="center" wrapText="1"/>
    </xf>
    <xf numFmtId="37" fontId="58" fillId="27" borderId="0" xfId="324" applyNumberFormat="1" applyFont="1" applyFill="1" applyBorder="1"/>
    <xf numFmtId="167" fontId="58" fillId="27" borderId="0" xfId="324" applyNumberFormat="1" applyFont="1" applyFill="1" applyBorder="1"/>
    <xf numFmtId="49" fontId="69" fillId="27" borderId="23" xfId="0" applyNumberFormat="1" applyFont="1" applyFill="1" applyBorder="1" applyAlignment="1">
      <alignment horizontal="center" vertical="center"/>
    </xf>
    <xf numFmtId="49" fontId="69" fillId="27" borderId="16" xfId="0" applyNumberFormat="1" applyFont="1" applyFill="1" applyBorder="1" applyAlignment="1">
      <alignment horizontal="center" vertical="center"/>
    </xf>
    <xf numFmtId="167" fontId="58" fillId="27" borderId="0" xfId="324" applyNumberFormat="1" applyFont="1" applyFill="1" applyBorder="1" applyAlignment="1">
      <alignment horizontal="center"/>
    </xf>
    <xf numFmtId="37" fontId="58" fillId="27" borderId="24" xfId="324" applyNumberFormat="1" applyFont="1" applyFill="1" applyBorder="1" applyAlignment="1">
      <alignment horizontal="center"/>
    </xf>
    <xf numFmtId="37" fontId="58" fillId="27" borderId="0" xfId="324" applyNumberFormat="1" applyFont="1" applyFill="1" applyBorder="1" applyAlignment="1">
      <alignment horizontal="center"/>
    </xf>
    <xf numFmtId="37" fontId="69" fillId="27" borderId="23" xfId="324" applyNumberFormat="1" applyFont="1" applyFill="1" applyBorder="1" applyAlignment="1">
      <alignment vertical="center"/>
    </xf>
    <xf numFmtId="37" fontId="69" fillId="27" borderId="23" xfId="324" applyNumberFormat="1" applyFont="1" applyFill="1" applyBorder="1" applyAlignment="1">
      <alignment horizontal="center" vertical="center"/>
    </xf>
    <xf numFmtId="37" fontId="69" fillId="27" borderId="16" xfId="324" applyNumberFormat="1" applyFont="1" applyFill="1" applyBorder="1" applyAlignment="1">
      <alignment horizontal="center" vertical="center"/>
    </xf>
    <xf numFmtId="174" fontId="69" fillId="27" borderId="19" xfId="0" applyNumberFormat="1" applyFont="1" applyFill="1" applyBorder="1" applyAlignment="1">
      <alignment horizontal="left" vertical="center"/>
    </xf>
    <xf numFmtId="3" fontId="72" fillId="27" borderId="12" xfId="324" applyNumberFormat="1" applyFont="1" applyFill="1" applyBorder="1" applyAlignment="1">
      <alignment horizontal="center" vertical="center"/>
    </xf>
    <xf numFmtId="3" fontId="72" fillId="27" borderId="12" xfId="0" applyNumberFormat="1" applyFont="1" applyFill="1" applyBorder="1" applyAlignment="1">
      <alignment horizontal="center" vertical="center"/>
    </xf>
    <xf numFmtId="3" fontId="56" fillId="27" borderId="12" xfId="0" applyNumberFormat="1" applyFont="1" applyFill="1" applyBorder="1" applyAlignment="1">
      <alignment horizontal="center" vertical="center"/>
    </xf>
    <xf numFmtId="3" fontId="56" fillId="27" borderId="12" xfId="324" applyNumberFormat="1" applyFont="1" applyFill="1" applyBorder="1" applyAlignment="1">
      <alignment horizontal="center" vertical="center"/>
    </xf>
    <xf numFmtId="3" fontId="56" fillId="27" borderId="25" xfId="324" applyNumberFormat="1" applyFont="1" applyFill="1" applyBorder="1" applyAlignment="1">
      <alignment horizontal="center" vertical="center"/>
    </xf>
    <xf numFmtId="3" fontId="56" fillId="27" borderId="21" xfId="324" applyNumberFormat="1" applyFont="1" applyFill="1" applyBorder="1" applyAlignment="1">
      <alignment horizontal="center" vertical="center"/>
    </xf>
    <xf numFmtId="3" fontId="56" fillId="27" borderId="18" xfId="324" applyNumberFormat="1" applyFont="1" applyFill="1" applyBorder="1" applyAlignment="1">
      <alignment horizontal="center" vertical="center"/>
    </xf>
    <xf numFmtId="3" fontId="56" fillId="27" borderId="11" xfId="0" applyNumberFormat="1" applyFont="1" applyFill="1" applyBorder="1" applyAlignment="1">
      <alignment horizontal="center" vertical="center"/>
    </xf>
    <xf numFmtId="49" fontId="72" fillId="27" borderId="14" xfId="0" applyNumberFormat="1" applyFont="1" applyFill="1" applyBorder="1" applyAlignment="1">
      <alignment horizontal="center"/>
    </xf>
    <xf numFmtId="174" fontId="108" fillId="27" borderId="13" xfId="0" applyFont="1" applyFill="1" applyBorder="1" applyAlignment="1">
      <alignment horizontal="center" vertical="center" wrapText="1"/>
    </xf>
    <xf numFmtId="181" fontId="113" fillId="27" borderId="13" xfId="0" applyNumberFormat="1" applyFont="1" applyFill="1" applyBorder="1" applyAlignment="1">
      <alignment horizontal="left" vertical="center" wrapText="1"/>
    </xf>
    <xf numFmtId="49" fontId="113" fillId="27" borderId="23" xfId="0" applyNumberFormat="1" applyFont="1" applyFill="1" applyBorder="1" applyAlignment="1">
      <alignment horizontal="center" vertical="center" wrapText="1"/>
    </xf>
    <xf numFmtId="49" fontId="113" fillId="27" borderId="16" xfId="0" applyNumberFormat="1" applyFont="1" applyFill="1" applyBorder="1" applyAlignment="1">
      <alignment horizontal="center" vertical="center" wrapText="1"/>
    </xf>
    <xf numFmtId="174" fontId="113" fillId="27" borderId="19" xfId="0" applyFont="1" applyFill="1" applyBorder="1" applyAlignment="1">
      <alignment horizontal="left" vertical="center" wrapText="1"/>
    </xf>
    <xf numFmtId="49" fontId="107" fillId="27" borderId="13" xfId="389" applyNumberFormat="1" applyFont="1" applyFill="1" applyBorder="1" applyAlignment="1">
      <alignment horizontal="center"/>
    </xf>
    <xf numFmtId="4" fontId="98" fillId="27" borderId="24" xfId="324" applyNumberFormat="1" applyFont="1" applyFill="1" applyBorder="1" applyAlignment="1">
      <alignment horizontal="right"/>
    </xf>
    <xf numFmtId="174" fontId="107" fillId="27" borderId="16" xfId="389" applyFont="1" applyFill="1" applyBorder="1" applyAlignment="1">
      <alignment horizontal="center" vertical="center" wrapText="1"/>
    </xf>
    <xf numFmtId="4" fontId="107" fillId="27" borderId="16" xfId="324" applyNumberFormat="1" applyFont="1" applyFill="1" applyBorder="1" applyAlignment="1">
      <alignment horizontal="right"/>
    </xf>
    <xf numFmtId="174" fontId="107" fillId="27" borderId="13" xfId="389" applyNumberFormat="1" applyFont="1" applyFill="1" applyBorder="1" applyAlignment="1">
      <alignment horizontal="center" vertical="center"/>
    </xf>
    <xf numFmtId="49" fontId="107" fillId="27" borderId="19" xfId="389" applyNumberFormat="1" applyFont="1" applyFill="1" applyBorder="1" applyAlignment="1">
      <alignment horizontal="center"/>
    </xf>
    <xf numFmtId="174" fontId="85" fillId="27" borderId="19" xfId="392" applyFont="1" applyFill="1" applyBorder="1" applyAlignment="1">
      <alignment vertical="center"/>
    </xf>
    <xf numFmtId="174" fontId="72" fillId="27" borderId="19" xfId="0" applyNumberFormat="1" applyFont="1" applyFill="1" applyBorder="1" applyAlignment="1">
      <alignment horizontal="left" vertical="center"/>
    </xf>
    <xf numFmtId="43" fontId="58" fillId="27" borderId="21" xfId="0" applyNumberFormat="1" applyFont="1" applyFill="1" applyBorder="1" applyAlignment="1">
      <alignment horizontal="center"/>
    </xf>
    <xf numFmtId="10" fontId="69" fillId="27" borderId="17" xfId="552" applyNumberFormat="1" applyFont="1" applyFill="1" applyBorder="1" applyAlignment="1">
      <alignment horizontal="center"/>
    </xf>
    <xf numFmtId="43" fontId="58" fillId="27" borderId="20" xfId="0" applyNumberFormat="1" applyFont="1" applyFill="1" applyBorder="1" applyAlignment="1">
      <alignment horizontal="center"/>
    </xf>
    <xf numFmtId="10" fontId="69" fillId="27" borderId="19" xfId="552" applyNumberFormat="1" applyFont="1" applyFill="1" applyBorder="1" applyAlignment="1">
      <alignment horizontal="center"/>
    </xf>
    <xf numFmtId="43" fontId="72" fillId="27" borderId="15" xfId="337" applyFont="1" applyFill="1" applyBorder="1" applyAlignment="1">
      <alignment vertical="center"/>
    </xf>
    <xf numFmtId="38" fontId="72" fillId="27" borderId="17" xfId="0" applyNumberFormat="1" applyFont="1" applyFill="1" applyBorder="1" applyAlignment="1">
      <alignment horizontal="center" wrapText="1"/>
    </xf>
    <xf numFmtId="174" fontId="72" fillId="0" borderId="21" xfId="0" applyNumberFormat="1" applyFont="1" applyFill="1" applyBorder="1" applyAlignment="1">
      <alignment horizontal="center" vertical="center" wrapText="1"/>
    </xf>
    <xf numFmtId="17" fontId="72" fillId="0" borderId="21" xfId="0" applyNumberFormat="1" applyFont="1" applyFill="1" applyBorder="1" applyAlignment="1" applyProtection="1">
      <alignment horizontal="center" vertical="center"/>
    </xf>
    <xf numFmtId="17" fontId="72" fillId="0" borderId="20" xfId="0" applyNumberFormat="1" applyFont="1" applyFill="1" applyBorder="1" applyAlignment="1" applyProtection="1">
      <alignment horizontal="center" vertical="center"/>
    </xf>
    <xf numFmtId="17" fontId="72" fillId="0" borderId="18" xfId="0" applyNumberFormat="1" applyFont="1" applyFill="1" applyBorder="1" applyAlignment="1" applyProtection="1">
      <alignment horizontal="center" vertical="center"/>
    </xf>
    <xf numFmtId="174" fontId="72" fillId="0" borderId="12" xfId="0" applyNumberFormat="1" applyFont="1" applyFill="1" applyBorder="1" applyAlignment="1">
      <alignment horizontal="center" vertical="center" wrapText="1"/>
    </xf>
    <xf numFmtId="174" fontId="72" fillId="0" borderId="25" xfId="0" applyNumberFormat="1" applyFont="1" applyFill="1" applyBorder="1" applyAlignment="1">
      <alignment horizontal="center" vertical="center" wrapText="1"/>
    </xf>
    <xf numFmtId="174" fontId="91" fillId="0" borderId="0" xfId="0" applyFont="1" applyAlignment="1">
      <alignment horizontal="justify" vertical="justify" wrapText="1"/>
    </xf>
    <xf numFmtId="174" fontId="85" fillId="27" borderId="0" xfId="0" applyFont="1" applyFill="1" applyBorder="1" applyAlignment="1">
      <alignment horizontal="center" vertical="center" wrapText="1"/>
    </xf>
    <xf numFmtId="174" fontId="55" fillId="27" borderId="15" xfId="0" applyNumberFormat="1" applyFont="1" applyFill="1" applyBorder="1" applyAlignment="1">
      <alignment horizontal="center" vertical="center"/>
    </xf>
    <xf numFmtId="167" fontId="72" fillId="27" borderId="15" xfId="324" applyNumberFormat="1" applyFont="1" applyFill="1" applyBorder="1" applyAlignment="1">
      <alignment horizontal="center" vertical="center"/>
    </xf>
    <xf numFmtId="167" fontId="72" fillId="27" borderId="16" xfId="324" applyNumberFormat="1" applyFont="1" applyFill="1" applyBorder="1" applyAlignment="1">
      <alignment horizontal="center" vertical="center"/>
    </xf>
    <xf numFmtId="17" fontId="72" fillId="27" borderId="15" xfId="0" applyNumberFormat="1" applyFont="1" applyFill="1" applyBorder="1" applyAlignment="1">
      <alignment horizontal="center" vertical="center"/>
    </xf>
    <xf numFmtId="174" fontId="0" fillId="0" borderId="0" xfId="0" applyFont="1" applyAlignment="1">
      <alignment vertical="center"/>
    </xf>
    <xf numFmtId="188" fontId="0" fillId="0" borderId="0" xfId="0" applyNumberFormat="1" applyFont="1"/>
    <xf numFmtId="49" fontId="72" fillId="27" borderId="13" xfId="337" applyNumberFormat="1" applyFont="1" applyFill="1" applyBorder="1" applyAlignment="1">
      <alignment horizontal="center" vertical="center" wrapText="1"/>
    </xf>
    <xf numFmtId="43" fontId="72" fillId="27" borderId="19" xfId="337" applyNumberFormat="1" applyFont="1" applyFill="1" applyBorder="1" applyAlignment="1">
      <alignment vertical="center"/>
    </xf>
    <xf numFmtId="174" fontId="85" fillId="27" borderId="13" xfId="451" applyFont="1" applyFill="1" applyBorder="1" applyAlignment="1">
      <alignment horizontal="center" vertical="center"/>
    </xf>
    <xf numFmtId="17" fontId="85" fillId="27" borderId="19" xfId="451" applyNumberFormat="1" applyFont="1" applyFill="1" applyBorder="1" applyAlignment="1">
      <alignment horizontal="center"/>
    </xf>
    <xf numFmtId="17" fontId="85" fillId="27" borderId="14" xfId="451" applyNumberFormat="1" applyFont="1" applyFill="1" applyBorder="1" applyAlignment="1">
      <alignment horizontal="center"/>
    </xf>
    <xf numFmtId="174" fontId="85" fillId="27" borderId="20" xfId="0" applyFont="1" applyFill="1" applyBorder="1" applyAlignment="1">
      <alignment horizontal="center" vertical="center" wrapText="1"/>
    </xf>
    <xf numFmtId="174" fontId="85" fillId="27" borderId="24" xfId="0" applyFont="1" applyFill="1" applyBorder="1" applyAlignment="1">
      <alignment horizontal="center" vertical="center" wrapText="1"/>
    </xf>
    <xf numFmtId="49" fontId="55" fillId="0" borderId="24" xfId="0" applyNumberFormat="1" applyFont="1" applyFill="1" applyBorder="1" applyAlignment="1">
      <alignment horizontal="center" vertical="center" wrapText="1"/>
    </xf>
    <xf numFmtId="174" fontId="0" fillId="0" borderId="0" xfId="0" applyAlignment="1">
      <alignment vertical="top"/>
    </xf>
    <xf numFmtId="0" fontId="49" fillId="0" borderId="0" xfId="743"/>
    <xf numFmtId="173" fontId="49" fillId="0" borderId="0" xfId="743" applyNumberFormat="1"/>
    <xf numFmtId="0" fontId="49" fillId="0" borderId="0" xfId="744"/>
    <xf numFmtId="0" fontId="62" fillId="0" borderId="0" xfId="744" applyFont="1" applyBorder="1" applyAlignment="1">
      <alignment horizontal="center"/>
    </xf>
    <xf numFmtId="3" fontId="86" fillId="27" borderId="0" xfId="329" applyNumberFormat="1" applyFont="1" applyFill="1" applyBorder="1" applyAlignment="1"/>
    <xf numFmtId="49" fontId="55" fillId="27" borderId="20" xfId="0" applyNumberFormat="1" applyFont="1" applyFill="1" applyBorder="1" applyAlignment="1">
      <alignment horizontal="center" vertical="center"/>
    </xf>
    <xf numFmtId="49" fontId="55" fillId="27" borderId="18" xfId="0" applyNumberFormat="1" applyFont="1" applyFill="1" applyBorder="1" applyAlignment="1">
      <alignment horizontal="center" vertical="center"/>
    </xf>
    <xf numFmtId="3" fontId="86" fillId="27" borderId="20" xfId="329" applyNumberFormat="1" applyFont="1" applyFill="1" applyBorder="1" applyAlignment="1">
      <alignment horizontal="right"/>
    </xf>
    <xf numFmtId="3" fontId="86" fillId="27" borderId="18" xfId="329" applyNumberFormat="1" applyFont="1" applyFill="1" applyBorder="1" applyAlignment="1">
      <alignment horizontal="right"/>
    </xf>
    <xf numFmtId="17" fontId="85" fillId="27" borderId="20" xfId="0" applyNumberFormat="1" applyFont="1" applyFill="1" applyBorder="1" applyAlignment="1">
      <alignment horizontal="center" vertical="center"/>
    </xf>
    <xf numFmtId="3" fontId="86" fillId="27" borderId="20" xfId="329" applyNumberFormat="1" applyFont="1" applyFill="1" applyBorder="1" applyAlignment="1">
      <alignment vertical="center"/>
    </xf>
    <xf numFmtId="174" fontId="74" fillId="0" borderId="0" xfId="0" applyFont="1" applyFill="1" applyBorder="1" applyAlignment="1">
      <alignment horizontal="center" vertical="center" wrapText="1"/>
    </xf>
    <xf numFmtId="43" fontId="58" fillId="27" borderId="0" xfId="324" applyFont="1" applyFill="1" applyBorder="1" applyAlignment="1">
      <alignment horizontal="center"/>
    </xf>
    <xf numFmtId="43" fontId="69" fillId="27" borderId="23" xfId="743" applyNumberFormat="1" applyFont="1" applyFill="1" applyBorder="1" applyAlignment="1">
      <alignment horizontal="center"/>
    </xf>
    <xf numFmtId="0" fontId="69" fillId="27" borderId="23" xfId="744" applyFont="1" applyFill="1" applyBorder="1" applyAlignment="1">
      <alignment horizontal="center" vertical="center" wrapText="1"/>
    </xf>
    <xf numFmtId="0" fontId="69" fillId="27" borderId="13" xfId="744" applyFont="1" applyFill="1" applyBorder="1" applyAlignment="1">
      <alignment horizontal="center" vertical="center" wrapText="1"/>
    </xf>
    <xf numFmtId="0" fontId="69" fillId="27" borderId="19" xfId="744" applyFont="1" applyFill="1" applyBorder="1" applyAlignment="1">
      <alignment horizontal="center"/>
    </xf>
    <xf numFmtId="0" fontId="69" fillId="27" borderId="13" xfId="744" applyFont="1" applyFill="1" applyBorder="1" applyAlignment="1">
      <alignment horizontal="center"/>
    </xf>
    <xf numFmtId="43" fontId="69" fillId="27" borderId="23" xfId="324" applyFont="1" applyFill="1" applyBorder="1"/>
    <xf numFmtId="38" fontId="77" fillId="0" borderId="0" xfId="0" applyNumberFormat="1" applyFont="1" applyBorder="1" applyAlignment="1">
      <alignment horizontal="center" vertical="center"/>
    </xf>
    <xf numFmtId="171" fontId="76" fillId="0" borderId="19" xfId="0" applyNumberFormat="1" applyFont="1" applyBorder="1" applyAlignment="1">
      <alignment horizontal="center" vertical="center"/>
    </xf>
    <xf numFmtId="38" fontId="77" fillId="0" borderId="21" xfId="0" applyNumberFormat="1" applyFont="1" applyBorder="1" applyAlignment="1">
      <alignment horizontal="center" vertical="center"/>
    </xf>
    <xf numFmtId="38" fontId="76" fillId="0" borderId="25" xfId="0" applyNumberFormat="1" applyFont="1" applyBorder="1" applyAlignment="1">
      <alignment horizontal="center" vertical="center"/>
    </xf>
    <xf numFmtId="171" fontId="76" fillId="0" borderId="25" xfId="0" applyNumberFormat="1" applyFont="1" applyBorder="1" applyAlignment="1">
      <alignment horizontal="center" vertical="center"/>
    </xf>
    <xf numFmtId="38" fontId="77" fillId="0" borderId="20" xfId="0" applyNumberFormat="1" applyFont="1" applyBorder="1" applyAlignment="1">
      <alignment horizontal="center" vertical="center"/>
    </xf>
    <xf numFmtId="38" fontId="76" fillId="0" borderId="24" xfId="0" applyNumberFormat="1" applyFont="1" applyBorder="1" applyAlignment="1">
      <alignment horizontal="center" vertical="center"/>
    </xf>
    <xf numFmtId="171" fontId="76" fillId="0" borderId="24" xfId="0" applyNumberFormat="1" applyFont="1" applyBorder="1" applyAlignment="1">
      <alignment horizontal="center" vertical="center"/>
    </xf>
    <xf numFmtId="38" fontId="76" fillId="27" borderId="24" xfId="0" applyNumberFormat="1" applyFont="1" applyFill="1" applyBorder="1" applyAlignment="1">
      <alignment horizontal="center" vertical="center"/>
    </xf>
    <xf numFmtId="171" fontId="76" fillId="27" borderId="24" xfId="0" applyNumberFormat="1" applyFont="1" applyFill="1" applyBorder="1" applyAlignment="1">
      <alignment horizontal="center" vertical="center"/>
    </xf>
    <xf numFmtId="171" fontId="76" fillId="27" borderId="22"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93" fontId="0" fillId="0" borderId="0" xfId="0" applyNumberFormat="1"/>
    <xf numFmtId="194" fontId="67" fillId="0" borderId="0" xfId="337" applyNumberFormat="1" applyFont="1" applyFill="1" applyBorder="1" applyAlignment="1"/>
    <xf numFmtId="171" fontId="85" fillId="0" borderId="24" xfId="552" applyNumberFormat="1" applyFont="1" applyFill="1" applyBorder="1" applyAlignment="1">
      <alignment horizontal="center"/>
    </xf>
    <xf numFmtId="171" fontId="126" fillId="0" borderId="24" xfId="552" applyNumberFormat="1" applyFont="1" applyFill="1" applyBorder="1" applyAlignment="1">
      <alignment horizontal="center"/>
    </xf>
    <xf numFmtId="188" fontId="0" fillId="0" borderId="0" xfId="0" applyNumberFormat="1"/>
    <xf numFmtId="3" fontId="77" fillId="27" borderId="12" xfId="329" applyNumberFormat="1" applyFont="1" applyFill="1" applyBorder="1" applyAlignment="1"/>
    <xf numFmtId="43" fontId="77" fillId="27" borderId="25" xfId="337" applyNumberFormat="1" applyFont="1" applyFill="1" applyBorder="1" applyAlignment="1"/>
    <xf numFmtId="3" fontId="77" fillId="27" borderId="20" xfId="329" applyNumberFormat="1" applyFont="1" applyFill="1" applyBorder="1" applyAlignment="1"/>
    <xf numFmtId="43" fontId="77" fillId="27" borderId="24" xfId="337" applyNumberFormat="1" applyFont="1" applyFill="1" applyBorder="1" applyAlignment="1"/>
    <xf numFmtId="3" fontId="77" fillId="27" borderId="24" xfId="329" applyNumberFormat="1" applyFont="1" applyFill="1" applyBorder="1" applyAlignment="1"/>
    <xf numFmtId="167" fontId="56" fillId="27" borderId="21" xfId="324" applyNumberFormat="1" applyFont="1" applyFill="1" applyBorder="1" applyAlignment="1">
      <alignment horizontal="right"/>
    </xf>
    <xf numFmtId="167" fontId="56" fillId="27" borderId="12" xfId="324" applyNumberFormat="1" applyFont="1" applyFill="1" applyBorder="1" applyAlignment="1">
      <alignment horizontal="right"/>
    </xf>
    <xf numFmtId="49" fontId="72" fillId="27" borderId="20" xfId="395" applyNumberFormat="1" applyFont="1" applyFill="1" applyBorder="1" applyAlignment="1">
      <alignment horizontal="left"/>
    </xf>
    <xf numFmtId="167" fontId="72" fillId="27" borderId="12" xfId="324" applyNumberFormat="1" applyFont="1" applyFill="1" applyBorder="1" applyAlignment="1">
      <alignment horizontal="right"/>
    </xf>
    <xf numFmtId="167" fontId="56" fillId="27" borderId="0" xfId="395" applyNumberFormat="1" applyFont="1" applyFill="1" applyBorder="1" applyAlignment="1">
      <alignment horizontal="right"/>
    </xf>
    <xf numFmtId="167" fontId="72" fillId="27" borderId="0" xfId="395" applyNumberFormat="1" applyFont="1" applyFill="1" applyBorder="1" applyAlignment="1">
      <alignment horizontal="right"/>
    </xf>
    <xf numFmtId="167" fontId="56" fillId="27" borderId="20" xfId="395" applyNumberFormat="1" applyFont="1" applyFill="1" applyBorder="1" applyAlignment="1">
      <alignment horizontal="right"/>
    </xf>
    <xf numFmtId="49" fontId="72" fillId="27" borderId="18" xfId="395" applyNumberFormat="1" applyFont="1" applyFill="1" applyBorder="1" applyAlignment="1">
      <alignment horizontal="left"/>
    </xf>
    <xf numFmtId="171" fontId="56" fillId="0" borderId="0" xfId="552" applyNumberFormat="1" applyFont="1" applyBorder="1"/>
    <xf numFmtId="3" fontId="56" fillId="27" borderId="11" xfId="326" applyNumberFormat="1" applyFont="1" applyFill="1" applyBorder="1" applyAlignment="1">
      <alignment horizontal="center" vertical="center"/>
    </xf>
    <xf numFmtId="3" fontId="56" fillId="27" borderId="12" xfId="326" applyNumberFormat="1" applyFont="1" applyFill="1" applyBorder="1" applyAlignment="1">
      <alignment horizontal="center" vertical="center"/>
    </xf>
    <xf numFmtId="171" fontId="54" fillId="0" borderId="0" xfId="552" applyNumberFormat="1" applyFont="1"/>
    <xf numFmtId="174" fontId="0" fillId="27" borderId="0" xfId="0" applyFill="1" applyBorder="1" applyAlignment="1">
      <alignment horizontal="right"/>
    </xf>
    <xf numFmtId="182" fontId="0" fillId="0" borderId="0" xfId="0" applyNumberFormat="1" applyBorder="1"/>
    <xf numFmtId="182" fontId="0" fillId="0" borderId="0" xfId="552" applyNumberFormat="1" applyFont="1"/>
    <xf numFmtId="2" fontId="0" fillId="0" borderId="0" xfId="552" applyNumberFormat="1" applyFont="1" applyBorder="1"/>
    <xf numFmtId="43" fontId="88" fillId="27" borderId="13" xfId="0" applyNumberFormat="1" applyFont="1" applyFill="1" applyBorder="1" applyAlignment="1">
      <alignment horizontal="center" vertical="center" wrapText="1"/>
    </xf>
    <xf numFmtId="43" fontId="88" fillId="27" borderId="19" xfId="0" applyNumberFormat="1" applyFont="1" applyFill="1" applyBorder="1" applyAlignment="1">
      <alignment horizontal="center"/>
    </xf>
    <xf numFmtId="3" fontId="88" fillId="27" borderId="0" xfId="0" applyNumberFormat="1" applyFont="1" applyFill="1" applyBorder="1" applyAlignment="1" applyProtection="1"/>
    <xf numFmtId="3" fontId="67" fillId="27" borderId="0" xfId="0" applyNumberFormat="1" applyFont="1" applyFill="1" applyBorder="1" applyAlignment="1" applyProtection="1"/>
    <xf numFmtId="43" fontId="88" fillId="27" borderId="13" xfId="0" applyNumberFormat="1" applyFont="1" applyFill="1" applyBorder="1" applyAlignment="1">
      <alignment horizontal="center" vertical="center"/>
    </xf>
    <xf numFmtId="167" fontId="88" fillId="27" borderId="23" xfId="0" applyNumberFormat="1" applyFont="1" applyFill="1" applyBorder="1" applyAlignment="1">
      <alignment horizontal="right" vertical="center"/>
    </xf>
    <xf numFmtId="174" fontId="85" fillId="0" borderId="0" xfId="0" applyFont="1" applyFill="1" applyBorder="1" applyAlignment="1">
      <alignment horizontal="center" vertical="center" wrapText="1"/>
    </xf>
    <xf numFmtId="10" fontId="85" fillId="27" borderId="19" xfId="392" applyNumberFormat="1" applyFont="1" applyFill="1" applyBorder="1" applyAlignment="1">
      <alignment horizontal="center"/>
    </xf>
    <xf numFmtId="10" fontId="72" fillId="0" borderId="0" xfId="0" applyNumberFormat="1" applyFont="1" applyFill="1" applyBorder="1" applyAlignment="1">
      <alignment horizontal="right" vertical="center"/>
    </xf>
    <xf numFmtId="10" fontId="72" fillId="27" borderId="0" xfId="0" applyNumberFormat="1" applyFont="1" applyFill="1" applyBorder="1" applyAlignment="1">
      <alignment horizontal="right" vertical="center"/>
    </xf>
    <xf numFmtId="43" fontId="56" fillId="27" borderId="0" xfId="0" applyNumberFormat="1" applyFont="1" applyFill="1" applyBorder="1" applyAlignment="1">
      <alignment horizontal="right" vertical="center"/>
    </xf>
    <xf numFmtId="10" fontId="72" fillId="0" borderId="23" xfId="0" applyNumberFormat="1" applyFont="1" applyFill="1" applyBorder="1" applyAlignment="1">
      <alignment horizontal="right" vertical="center"/>
    </xf>
    <xf numFmtId="10" fontId="68" fillId="0" borderId="0" xfId="552" applyNumberFormat="1" applyFont="1" applyFill="1" applyBorder="1" applyAlignment="1">
      <alignment horizontal="right"/>
    </xf>
    <xf numFmtId="43" fontId="49" fillId="0" borderId="0" xfId="744" applyNumberFormat="1"/>
    <xf numFmtId="10" fontId="49" fillId="0" borderId="0" xfId="552" applyNumberFormat="1"/>
    <xf numFmtId="43" fontId="69" fillId="27" borderId="15" xfId="324" applyFont="1" applyFill="1" applyBorder="1"/>
    <xf numFmtId="0" fontId="69" fillId="27" borderId="13" xfId="744" applyFont="1" applyFill="1" applyBorder="1" applyAlignment="1">
      <alignment horizontal="center" vertical="center"/>
    </xf>
    <xf numFmtId="43" fontId="69" fillId="27" borderId="19" xfId="324" applyFont="1" applyFill="1" applyBorder="1"/>
    <xf numFmtId="43" fontId="69" fillId="27" borderId="13" xfId="324" applyFont="1" applyFill="1" applyBorder="1"/>
    <xf numFmtId="49" fontId="71" fillId="32" borderId="19" xfId="0" applyNumberFormat="1" applyFont="1" applyFill="1" applyBorder="1" applyAlignment="1">
      <alignment horizontal="center" vertical="center" wrapText="1"/>
    </xf>
    <xf numFmtId="167" fontId="72" fillId="32" borderId="0" xfId="0" applyNumberFormat="1" applyFont="1" applyFill="1" applyBorder="1" applyAlignment="1">
      <alignment horizontal="center" vertical="center" wrapText="1"/>
    </xf>
    <xf numFmtId="49" fontId="71" fillId="32" borderId="0" xfId="0" applyNumberFormat="1" applyFont="1" applyFill="1" applyBorder="1" applyAlignment="1">
      <alignment horizontal="center" vertical="center" wrapText="1"/>
    </xf>
    <xf numFmtId="49" fontId="71" fillId="32" borderId="24" xfId="0" applyNumberFormat="1" applyFont="1" applyFill="1" applyBorder="1" applyAlignment="1">
      <alignment horizontal="center" vertical="center" wrapText="1"/>
    </xf>
    <xf numFmtId="174" fontId="54" fillId="0" borderId="0" xfId="0" applyFont="1" applyAlignment="1">
      <alignment horizontal="left"/>
    </xf>
    <xf numFmtId="174" fontId="0" fillId="0" borderId="0" xfId="0" applyAlignment="1">
      <alignment horizontal="left" indent="5"/>
    </xf>
    <xf numFmtId="174" fontId="54" fillId="0" borderId="0" xfId="0" applyFont="1" applyAlignment="1">
      <alignment horizontal="left" indent="5"/>
    </xf>
    <xf numFmtId="174" fontId="0" fillId="0" borderId="0" xfId="0" applyAlignment="1">
      <alignment horizontal="left" indent="8"/>
    </xf>
    <xf numFmtId="174" fontId="54" fillId="0" borderId="0" xfId="0" applyFont="1" applyAlignment="1">
      <alignment horizontal="left" indent="3"/>
    </xf>
    <xf numFmtId="195" fontId="0" fillId="0" borderId="0" xfId="0" applyNumberFormat="1"/>
    <xf numFmtId="0" fontId="49" fillId="0" borderId="0" xfId="920"/>
    <xf numFmtId="167" fontId="49" fillId="0" borderId="0" xfId="920" applyNumberFormat="1"/>
    <xf numFmtId="0" fontId="0" fillId="0" borderId="0" xfId="920" applyFont="1"/>
    <xf numFmtId="2" fontId="49" fillId="0" borderId="0" xfId="920" applyNumberFormat="1"/>
    <xf numFmtId="186" fontId="49" fillId="0" borderId="0" xfId="920" applyNumberFormat="1"/>
    <xf numFmtId="0" fontId="49" fillId="0" borderId="0" xfId="1093"/>
    <xf numFmtId="167" fontId="49" fillId="0" borderId="0" xfId="1093" applyNumberFormat="1"/>
    <xf numFmtId="0" fontId="49" fillId="0" borderId="0" xfId="1094"/>
    <xf numFmtId="0" fontId="49" fillId="0" borderId="0" xfId="794" applyAlignment="1">
      <alignment vertical="center"/>
    </xf>
    <xf numFmtId="0" fontId="49" fillId="0" borderId="0" xfId="794"/>
    <xf numFmtId="167" fontId="67" fillId="27" borderId="0" xfId="324" applyNumberFormat="1" applyFont="1" applyFill="1" applyBorder="1" applyAlignment="1">
      <alignment vertical="center"/>
    </xf>
    <xf numFmtId="0" fontId="88" fillId="27" borderId="21" xfId="438" applyFont="1" applyFill="1" applyBorder="1" applyAlignment="1">
      <alignment horizontal="center" vertical="center" wrapText="1"/>
    </xf>
    <xf numFmtId="0" fontId="88" fillId="27" borderId="13" xfId="438" applyFont="1" applyFill="1" applyBorder="1" applyAlignment="1">
      <alignment horizontal="center" vertical="center" wrapText="1"/>
    </xf>
    <xf numFmtId="0" fontId="88" fillId="27" borderId="15" xfId="438" applyFont="1" applyFill="1" applyBorder="1" applyAlignment="1">
      <alignment horizontal="center" vertical="center" wrapText="1"/>
    </xf>
    <xf numFmtId="0" fontId="88" fillId="27" borderId="23" xfId="438" applyFont="1" applyFill="1" applyBorder="1" applyAlignment="1">
      <alignment horizontal="center" vertical="center" wrapText="1"/>
    </xf>
    <xf numFmtId="0" fontId="88" fillId="27" borderId="17" xfId="438" applyFont="1" applyFill="1" applyBorder="1" applyAlignment="1">
      <alignment horizontal="left" vertical="center" wrapText="1"/>
    </xf>
    <xf numFmtId="0" fontId="88" fillId="27" borderId="19" xfId="438" applyFont="1" applyFill="1" applyBorder="1" applyAlignment="1">
      <alignment horizontal="left" vertical="center" wrapText="1"/>
    </xf>
    <xf numFmtId="0" fontId="65" fillId="27" borderId="13" xfId="794" applyFont="1" applyFill="1" applyBorder="1" applyAlignment="1">
      <alignment horizontal="center" vertical="center"/>
    </xf>
    <xf numFmtId="0" fontId="69" fillId="27" borderId="13" xfId="794" applyFont="1" applyFill="1" applyBorder="1" applyAlignment="1">
      <alignment horizontal="center" vertical="center"/>
    </xf>
    <xf numFmtId="0" fontId="69" fillId="27" borderId="13" xfId="794" applyFont="1" applyFill="1" applyBorder="1" applyAlignment="1">
      <alignment horizontal="center"/>
    </xf>
    <xf numFmtId="0" fontId="58" fillId="27" borderId="0" xfId="794" applyFont="1" applyFill="1" applyBorder="1" applyAlignment="1">
      <alignment horizontal="center"/>
    </xf>
    <xf numFmtId="49" fontId="69" fillId="27" borderId="23" xfId="794" applyNumberFormat="1" applyFont="1" applyFill="1" applyBorder="1" applyAlignment="1">
      <alignment horizontal="center" vertical="center"/>
    </xf>
    <xf numFmtId="49" fontId="69" fillId="27" borderId="23" xfId="794" applyNumberFormat="1" applyFont="1" applyFill="1" applyBorder="1" applyAlignment="1">
      <alignment horizontal="center" vertical="center" wrapText="1"/>
    </xf>
    <xf numFmtId="0" fontId="65" fillId="27" borderId="17" xfId="794" applyFont="1" applyFill="1" applyBorder="1" applyAlignment="1">
      <alignment horizontal="center" vertical="center"/>
    </xf>
    <xf numFmtId="0" fontId="65" fillId="27" borderId="17" xfId="794" applyFont="1" applyFill="1" applyBorder="1" applyAlignment="1">
      <alignment vertical="center"/>
    </xf>
    <xf numFmtId="0" fontId="65" fillId="27" borderId="19" xfId="794" applyFont="1" applyFill="1" applyBorder="1" applyAlignment="1">
      <alignment vertical="center"/>
    </xf>
    <xf numFmtId="0" fontId="65" fillId="27" borderId="14" xfId="794" applyFont="1" applyFill="1" applyBorder="1" applyAlignment="1">
      <alignment vertical="center"/>
    </xf>
    <xf numFmtId="0" fontId="69" fillId="27" borderId="15" xfId="794" applyFont="1" applyFill="1" applyBorder="1" applyAlignment="1">
      <alignment horizontal="center"/>
    </xf>
    <xf numFmtId="0" fontId="69" fillId="27" borderId="23" xfId="794" applyFont="1" applyFill="1" applyBorder="1" applyAlignment="1">
      <alignment horizontal="center"/>
    </xf>
    <xf numFmtId="0" fontId="69" fillId="27" borderId="19" xfId="794" applyFont="1" applyFill="1" applyBorder="1" applyAlignment="1">
      <alignment horizontal="center"/>
    </xf>
    <xf numFmtId="0" fontId="69" fillId="27" borderId="13" xfId="920" applyFont="1" applyFill="1" applyBorder="1" applyAlignment="1">
      <alignment horizontal="center" vertical="center"/>
    </xf>
    <xf numFmtId="171" fontId="58" fillId="27" borderId="24" xfId="920" applyNumberFormat="1" applyFont="1" applyFill="1" applyBorder="1"/>
    <xf numFmtId="0" fontId="69" fillId="27" borderId="23" xfId="920" applyFont="1" applyFill="1" applyBorder="1" applyAlignment="1">
      <alignment horizontal="center" vertical="center" wrapText="1"/>
    </xf>
    <xf numFmtId="0" fontId="69" fillId="27" borderId="16" xfId="920" applyFont="1" applyFill="1" applyBorder="1" applyAlignment="1">
      <alignment horizontal="center" vertical="center" wrapText="1"/>
    </xf>
    <xf numFmtId="0" fontId="69" fillId="27" borderId="19" xfId="920" applyFont="1" applyFill="1" applyBorder="1" applyAlignment="1">
      <alignment horizontal="center" vertical="center"/>
    </xf>
    <xf numFmtId="167" fontId="69" fillId="27" borderId="23" xfId="324" applyNumberFormat="1" applyFont="1" applyFill="1" applyBorder="1"/>
    <xf numFmtId="171" fontId="69" fillId="27" borderId="16" xfId="920" applyNumberFormat="1" applyFont="1" applyFill="1" applyBorder="1"/>
    <xf numFmtId="167" fontId="67" fillId="27" borderId="21" xfId="324" applyNumberFormat="1" applyFont="1" applyFill="1" applyBorder="1" applyAlignment="1">
      <alignment vertical="center"/>
    </xf>
    <xf numFmtId="167" fontId="67" fillId="27" borderId="12" xfId="324" applyNumberFormat="1" applyFont="1" applyFill="1" applyBorder="1" applyAlignment="1">
      <alignment vertical="center"/>
    </xf>
    <xf numFmtId="167" fontId="67" fillId="27" borderId="20" xfId="324" applyNumberFormat="1" applyFont="1" applyFill="1" applyBorder="1" applyAlignment="1">
      <alignment vertical="center"/>
    </xf>
    <xf numFmtId="182" fontId="49" fillId="0" borderId="0" xfId="1095"/>
    <xf numFmtId="182" fontId="59" fillId="0" borderId="0" xfId="1095" applyFont="1" applyFill="1" applyBorder="1" applyAlignment="1">
      <alignment horizontal="center" vertical="center" wrapText="1"/>
    </xf>
    <xf numFmtId="182" fontId="49" fillId="0" borderId="0" xfId="1095" applyFill="1" applyBorder="1"/>
    <xf numFmtId="182" fontId="50" fillId="0" borderId="0" xfId="1095" applyFont="1" applyFill="1" applyBorder="1"/>
    <xf numFmtId="182" fontId="63" fillId="0" borderId="0" xfId="1095" applyNumberFormat="1" applyFont="1" applyFill="1" applyBorder="1" applyAlignment="1">
      <alignment horizontal="center"/>
    </xf>
    <xf numFmtId="182" fontId="59" fillId="0" borderId="0" xfId="1095" applyNumberFormat="1" applyFont="1" applyFill="1" applyBorder="1" applyAlignment="1">
      <alignment horizontal="center"/>
    </xf>
    <xf numFmtId="182" fontId="86" fillId="0" borderId="0" xfId="1095" applyFont="1" applyFill="1" applyBorder="1"/>
    <xf numFmtId="10" fontId="86" fillId="0" borderId="0" xfId="1095" applyNumberFormat="1" applyFont="1" applyFill="1" applyBorder="1"/>
    <xf numFmtId="43" fontId="63" fillId="0" borderId="0" xfId="1095" applyNumberFormat="1" applyFont="1" applyFill="1" applyBorder="1" applyAlignment="1">
      <alignment horizontal="center"/>
    </xf>
    <xf numFmtId="174" fontId="85" fillId="0" borderId="17" xfId="389" applyNumberFormat="1" applyFont="1" applyFill="1" applyBorder="1" applyAlignment="1">
      <alignment horizontal="center" vertical="center"/>
    </xf>
    <xf numFmtId="41" fontId="77" fillId="27" borderId="20" xfId="329" applyNumberFormat="1" applyFont="1" applyFill="1" applyBorder="1" applyAlignment="1"/>
    <xf numFmtId="43" fontId="76" fillId="27" borderId="0" xfId="329" applyNumberFormat="1" applyFont="1" applyFill="1" applyBorder="1" applyAlignment="1">
      <alignment horizontal="right" vertical="center" wrapText="1"/>
    </xf>
    <xf numFmtId="174" fontId="85" fillId="0" borderId="19" xfId="389" applyFont="1" applyFill="1" applyBorder="1" applyAlignment="1">
      <alignment horizontal="center"/>
    </xf>
    <xf numFmtId="174" fontId="85" fillId="0" borderId="14" xfId="389" applyFont="1" applyFill="1" applyBorder="1" applyAlignment="1">
      <alignment horizontal="center"/>
    </xf>
    <xf numFmtId="174" fontId="85" fillId="0" borderId="19" xfId="389" applyNumberFormat="1" applyFont="1" applyFill="1" applyBorder="1" applyAlignment="1">
      <alignment horizontal="center" vertical="center"/>
    </xf>
    <xf numFmtId="41" fontId="77" fillId="27" borderId="21" xfId="395" applyNumberFormat="1" applyFont="1" applyFill="1" applyBorder="1" applyAlignment="1"/>
    <xf numFmtId="174" fontId="91" fillId="0" borderId="0" xfId="0" applyFont="1" applyAlignment="1">
      <alignment horizontal="justify" vertical="justify" wrapText="1"/>
    </xf>
    <xf numFmtId="174" fontId="74" fillId="0" borderId="0" xfId="0" applyFont="1" applyFill="1" applyBorder="1" applyAlignment="1">
      <alignment horizontal="center" vertical="center" wrapText="1"/>
    </xf>
    <xf numFmtId="174" fontId="91" fillId="0" borderId="0" xfId="0" applyFont="1" applyAlignment="1">
      <alignment horizontal="justify" vertical="justify" wrapText="1"/>
    </xf>
    <xf numFmtId="174" fontId="74" fillId="0" borderId="0" xfId="0" applyFont="1" applyFill="1" applyBorder="1" applyAlignment="1">
      <alignment horizontal="center" vertical="center" wrapText="1"/>
    </xf>
    <xf numFmtId="174" fontId="70" fillId="0" borderId="0" xfId="0" applyNumberFormat="1" applyFont="1" applyBorder="1" applyAlignment="1"/>
    <xf numFmtId="174" fontId="74" fillId="0" borderId="0" xfId="0" applyFont="1" applyFill="1" applyBorder="1" applyAlignment="1">
      <alignment horizontal="center" vertical="center" wrapText="1"/>
    </xf>
    <xf numFmtId="174" fontId="0" fillId="0" borderId="0" xfId="0" applyAlignment="1">
      <alignment horizontal="center"/>
    </xf>
    <xf numFmtId="171" fontId="67" fillId="0" borderId="0" xfId="337" applyNumberFormat="1" applyFont="1" applyFill="1" applyBorder="1" applyAlignment="1"/>
    <xf numFmtId="174" fontId="88" fillId="0" borderId="15" xfId="0" applyNumberFormat="1" applyFont="1" applyFill="1" applyBorder="1" applyAlignment="1">
      <alignment horizontal="center" vertical="center" wrapText="1"/>
    </xf>
    <xf numFmtId="49" fontId="88" fillId="0" borderId="21" xfId="0" applyNumberFormat="1" applyFont="1" applyFill="1" applyBorder="1" applyAlignment="1">
      <alignment horizontal="center" vertical="center"/>
    </xf>
    <xf numFmtId="10" fontId="67" fillId="0" borderId="0" xfId="337" applyNumberFormat="1" applyFont="1" applyFill="1" applyBorder="1" applyAlignment="1"/>
    <xf numFmtId="174" fontId="74" fillId="0" borderId="0" xfId="0" applyFont="1" applyFill="1" applyBorder="1" applyAlignment="1">
      <alignment horizontal="center" vertical="center" wrapText="1"/>
    </xf>
    <xf numFmtId="174" fontId="69" fillId="27" borderId="2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 fontId="69" fillId="27" borderId="19" xfId="395" applyNumberFormat="1" applyFont="1" applyFill="1" applyBorder="1" applyAlignment="1">
      <alignment horizontal="center"/>
    </xf>
    <xf numFmtId="17" fontId="69" fillId="27" borderId="14" xfId="395" applyNumberFormat="1" applyFont="1" applyFill="1" applyBorder="1" applyAlignment="1">
      <alignment horizontal="center"/>
    </xf>
    <xf numFmtId="167" fontId="58" fillId="27" borderId="0" xfId="395" applyNumberFormat="1" applyFont="1" applyFill="1" applyBorder="1" applyAlignment="1">
      <alignment horizontal="right"/>
    </xf>
    <xf numFmtId="167" fontId="69" fillId="27" borderId="0" xfId="395" applyNumberFormat="1" applyFont="1" applyFill="1" applyBorder="1" applyAlignment="1">
      <alignment horizontal="right"/>
    </xf>
    <xf numFmtId="2" fontId="65" fillId="27" borderId="24" xfId="395" applyNumberFormat="1" applyFont="1" applyFill="1" applyBorder="1" applyAlignment="1">
      <alignment horizontal="right"/>
    </xf>
    <xf numFmtId="167" fontId="58" fillId="27" borderId="11" xfId="395" applyNumberFormat="1" applyFont="1" applyFill="1" applyBorder="1" applyAlignment="1">
      <alignment horizontal="right"/>
    </xf>
    <xf numFmtId="167" fontId="69" fillId="27" borderId="11" xfId="395" applyNumberFormat="1" applyFont="1" applyFill="1" applyBorder="1" applyAlignment="1">
      <alignment horizontal="right"/>
    </xf>
    <xf numFmtId="2" fontId="65" fillId="27" borderId="22" xfId="395" applyNumberFormat="1" applyFont="1" applyFill="1" applyBorder="1" applyAlignment="1">
      <alignment horizontal="right"/>
    </xf>
    <xf numFmtId="167" fontId="58" fillId="27" borderId="20" xfId="395" applyNumberFormat="1" applyFont="1" applyFill="1" applyBorder="1" applyAlignment="1">
      <alignment horizontal="right"/>
    </xf>
    <xf numFmtId="167" fontId="58" fillId="27" borderId="18" xfId="395" applyNumberFormat="1" applyFont="1" applyFill="1" applyBorder="1" applyAlignment="1">
      <alignment horizontal="right"/>
    </xf>
    <xf numFmtId="3" fontId="86" fillId="27" borderId="12" xfId="329" applyNumberFormat="1" applyFont="1" applyFill="1" applyBorder="1" applyAlignment="1">
      <alignment horizontal="right" vertical="center"/>
    </xf>
    <xf numFmtId="3" fontId="86" fillId="27" borderId="12" xfId="329" applyNumberFormat="1" applyFont="1" applyFill="1" applyBorder="1" applyAlignment="1">
      <alignment vertical="center"/>
    </xf>
    <xf numFmtId="3" fontId="86" fillId="27" borderId="11" xfId="329" applyNumberFormat="1" applyFont="1" applyFill="1" applyBorder="1" applyAlignment="1">
      <alignment horizontal="right" vertical="center"/>
    </xf>
    <xf numFmtId="17" fontId="72" fillId="27" borderId="13" xfId="0" applyNumberFormat="1" applyFont="1" applyFill="1" applyBorder="1" applyAlignment="1">
      <alignment horizontal="center" vertical="center"/>
    </xf>
    <xf numFmtId="17" fontId="85" fillId="27" borderId="19" xfId="0" applyNumberFormat="1" applyFont="1" applyFill="1" applyBorder="1" applyAlignment="1">
      <alignment horizontal="center" vertical="center"/>
    </xf>
    <xf numFmtId="17" fontId="85" fillId="27" borderId="14" xfId="0" applyNumberFormat="1" applyFont="1" applyFill="1" applyBorder="1" applyAlignment="1">
      <alignment horizontal="center" vertical="center"/>
    </xf>
    <xf numFmtId="171" fontId="58" fillId="0" borderId="0" xfId="552" applyNumberFormat="1" applyFont="1" applyFill="1" applyBorder="1" applyAlignment="1" applyProtection="1">
      <alignment horizontal="right"/>
    </xf>
    <xf numFmtId="174" fontId="74" fillId="0" borderId="0" xfId="0" applyFont="1" applyFill="1" applyBorder="1" applyAlignment="1">
      <alignment horizontal="center" vertical="center" wrapText="1"/>
    </xf>
    <xf numFmtId="171" fontId="72" fillId="27" borderId="0" xfId="329" applyNumberFormat="1" applyFont="1" applyFill="1" applyBorder="1" applyAlignment="1">
      <alignment horizontal="right" vertical="center"/>
    </xf>
    <xf numFmtId="171" fontId="85" fillId="27" borderId="0" xfId="329" applyNumberFormat="1" applyFont="1" applyFill="1" applyBorder="1" applyAlignment="1">
      <alignment horizontal="right" vertical="center"/>
    </xf>
    <xf numFmtId="2" fontId="85" fillId="27" borderId="0" xfId="329" applyNumberFormat="1" applyFont="1" applyFill="1" applyBorder="1" applyAlignment="1">
      <alignment horizontal="right" vertical="center"/>
    </xf>
    <xf numFmtId="174" fontId="0" fillId="0" borderId="24" xfId="0" applyBorder="1"/>
    <xf numFmtId="49" fontId="85" fillId="27" borderId="17" xfId="0" applyNumberFormat="1" applyFont="1" applyFill="1" applyBorder="1" applyAlignment="1">
      <alignment horizontal="center" vertical="center"/>
    </xf>
    <xf numFmtId="49" fontId="85" fillId="27" borderId="19" xfId="0" applyNumberFormat="1" applyFont="1" applyFill="1" applyBorder="1" applyAlignment="1">
      <alignment horizontal="center" vertical="center"/>
    </xf>
    <xf numFmtId="49" fontId="85" fillId="27" borderId="14" xfId="0" applyNumberFormat="1" applyFont="1" applyFill="1" applyBorder="1" applyAlignment="1">
      <alignment horizontal="center" vertical="center"/>
    </xf>
    <xf numFmtId="3" fontId="86" fillId="27" borderId="21" xfId="329" applyNumberFormat="1" applyFont="1" applyFill="1" applyBorder="1" applyAlignment="1">
      <alignment horizontal="right" vertical="center"/>
    </xf>
    <xf numFmtId="188" fontId="71" fillId="0" borderId="0" xfId="0" applyNumberFormat="1" applyFont="1"/>
    <xf numFmtId="171" fontId="71" fillId="0" borderId="0" xfId="0" applyNumberFormat="1" applyFont="1"/>
    <xf numFmtId="174" fontId="134" fillId="0" borderId="0" xfId="0" applyFont="1"/>
    <xf numFmtId="167" fontId="88" fillId="27" borderId="15" xfId="0" applyNumberFormat="1" applyFont="1" applyFill="1" applyBorder="1" applyAlignment="1">
      <alignment horizontal="right" vertical="center"/>
    </xf>
    <xf numFmtId="174" fontId="74" fillId="0" borderId="0" xfId="0" applyFont="1" applyFill="1" applyBorder="1" applyAlignment="1">
      <alignment horizontal="center" vertical="center" wrapText="1"/>
    </xf>
    <xf numFmtId="3" fontId="85" fillId="27" borderId="20" xfId="329" applyNumberFormat="1" applyFont="1" applyFill="1" applyBorder="1" applyAlignment="1">
      <alignment horizontal="right" vertical="center"/>
    </xf>
    <xf numFmtId="3" fontId="85" fillId="27" borderId="25" xfId="329" applyNumberFormat="1" applyFont="1" applyFill="1" applyBorder="1" applyAlignment="1">
      <alignment horizontal="right" vertical="center"/>
    </xf>
    <xf numFmtId="3" fontId="85" fillId="27" borderId="24" xfId="329" applyNumberFormat="1" applyFont="1" applyFill="1" applyBorder="1" applyAlignment="1">
      <alignment horizontal="right" vertical="center"/>
    </xf>
    <xf numFmtId="3" fontId="85" fillId="27" borderId="22" xfId="329" applyNumberFormat="1" applyFont="1" applyFill="1" applyBorder="1" applyAlignment="1">
      <alignment horizontal="right" vertical="center"/>
    </xf>
    <xf numFmtId="43" fontId="55" fillId="0" borderId="0" xfId="0" applyNumberFormat="1" applyFont="1" applyFill="1" applyBorder="1" applyAlignment="1">
      <alignment horizontal="left"/>
    </xf>
    <xf numFmtId="174" fontId="136" fillId="0" borderId="0" xfId="0" applyFont="1" applyAlignment="1">
      <alignment horizontal="center" vertical="center"/>
    </xf>
    <xf numFmtId="174" fontId="85" fillId="27" borderId="15" xfId="392" applyFont="1" applyFill="1" applyBorder="1" applyAlignment="1">
      <alignment horizontal="center" vertical="center"/>
    </xf>
    <xf numFmtId="43" fontId="34" fillId="27" borderId="20" xfId="337" applyFont="1" applyFill="1" applyBorder="1" applyAlignment="1">
      <alignment horizontal="center" vertical="center"/>
    </xf>
    <xf numFmtId="43" fontId="85" fillId="27" borderId="15" xfId="392" applyNumberFormat="1" applyFont="1" applyFill="1" applyBorder="1" applyAlignment="1">
      <alignment horizontal="center" vertical="center"/>
    </xf>
    <xf numFmtId="10" fontId="85" fillId="27" borderId="13" xfId="392" applyNumberFormat="1" applyFont="1" applyFill="1" applyBorder="1" applyAlignment="1">
      <alignment horizontal="center" vertical="center"/>
    </xf>
    <xf numFmtId="174" fontId="85" fillId="27" borderId="23" xfId="0" applyFont="1" applyFill="1" applyBorder="1" applyAlignment="1">
      <alignment horizontal="center" vertical="center"/>
    </xf>
    <xf numFmtId="49" fontId="69" fillId="27" borderId="20" xfId="395" applyNumberFormat="1" applyFont="1" applyFill="1" applyBorder="1" applyAlignment="1">
      <alignment horizontal="center"/>
    </xf>
    <xf numFmtId="49" fontId="69" fillId="27" borderId="18" xfId="395" applyNumberFormat="1" applyFont="1" applyFill="1" applyBorder="1" applyAlignment="1">
      <alignment horizontal="center"/>
    </xf>
    <xf numFmtId="174" fontId="69" fillId="27" borderId="15" xfId="0" applyNumberFormat="1" applyFont="1" applyFill="1" applyBorder="1" applyAlignment="1">
      <alignment horizontal="center" vertical="center" wrapText="1"/>
    </xf>
    <xf numFmtId="171" fontId="49" fillId="0" borderId="0" xfId="552" applyNumberFormat="1" applyFont="1" applyBorder="1"/>
    <xf numFmtId="196" fontId="49" fillId="0" borderId="0" xfId="743" applyNumberFormat="1"/>
    <xf numFmtId="181" fontId="113" fillId="27" borderId="15" xfId="0" applyNumberFormat="1" applyFont="1" applyFill="1" applyBorder="1" applyAlignment="1">
      <alignment horizontal="center" vertical="center" wrapText="1"/>
    </xf>
    <xf numFmtId="174" fontId="0" fillId="0" borderId="0" xfId="0" applyAlignment="1">
      <alignment horizontal="center" wrapText="1"/>
    </xf>
    <xf numFmtId="43" fontId="0" fillId="0" borderId="0" xfId="1093" applyNumberFormat="1" applyFont="1"/>
    <xf numFmtId="10" fontId="49" fillId="0" borderId="0" xfId="1093" applyNumberFormat="1"/>
    <xf numFmtId="9" fontId="49" fillId="0" borderId="0" xfId="1093" applyNumberFormat="1"/>
    <xf numFmtId="167" fontId="86" fillId="27" borderId="21" xfId="395" applyNumberFormat="1" applyFont="1" applyFill="1" applyBorder="1" applyAlignment="1">
      <alignment horizontal="center" vertical="center"/>
    </xf>
    <xf numFmtId="171" fontId="85" fillId="27" borderId="12" xfId="398" applyNumberFormat="1" applyFont="1" applyFill="1" applyBorder="1" applyAlignment="1">
      <alignment horizontal="center" vertical="center"/>
    </xf>
    <xf numFmtId="167" fontId="86" fillId="27" borderId="12" xfId="395" applyNumberFormat="1" applyFont="1" applyFill="1" applyBorder="1" applyAlignment="1">
      <alignment horizontal="center" vertical="center"/>
    </xf>
    <xf numFmtId="171" fontId="85" fillId="27" borderId="12" xfId="395" applyNumberFormat="1" applyFont="1" applyFill="1" applyBorder="1" applyAlignment="1">
      <alignment horizontal="center" vertical="center"/>
    </xf>
    <xf numFmtId="167" fontId="85" fillId="27" borderId="25" xfId="395" applyNumberFormat="1" applyFont="1" applyFill="1" applyBorder="1" applyAlignment="1">
      <alignment horizontal="center" vertical="center"/>
    </xf>
    <xf numFmtId="167" fontId="86" fillId="27" borderId="20" xfId="395" applyNumberFormat="1" applyFont="1" applyFill="1" applyBorder="1" applyAlignment="1">
      <alignment horizontal="center" vertical="center"/>
    </xf>
    <xf numFmtId="171" fontId="85" fillId="27" borderId="0" xfId="398" applyNumberFormat="1" applyFont="1" applyFill="1" applyBorder="1" applyAlignment="1">
      <alignment horizontal="center" vertical="center"/>
    </xf>
    <xf numFmtId="167" fontId="86" fillId="27" borderId="0" xfId="395" applyNumberFormat="1" applyFont="1" applyFill="1" applyBorder="1" applyAlignment="1">
      <alignment horizontal="center" vertical="center"/>
    </xf>
    <xf numFmtId="171" fontId="85" fillId="27" borderId="0" xfId="395" applyNumberFormat="1" applyFont="1" applyFill="1" applyBorder="1" applyAlignment="1">
      <alignment horizontal="center" vertical="center"/>
    </xf>
    <xf numFmtId="167" fontId="85" fillId="27" borderId="24" xfId="395" applyNumberFormat="1" applyFont="1" applyFill="1" applyBorder="1" applyAlignment="1">
      <alignment horizontal="center" vertical="center"/>
    </xf>
    <xf numFmtId="171" fontId="85" fillId="27" borderId="11" xfId="398" applyNumberFormat="1" applyFont="1" applyFill="1" applyBorder="1" applyAlignment="1">
      <alignment horizontal="center" vertical="center"/>
    </xf>
    <xf numFmtId="167" fontId="86" fillId="27" borderId="11" xfId="395" applyNumberFormat="1" applyFont="1" applyFill="1" applyBorder="1" applyAlignment="1">
      <alignment horizontal="center" vertical="center"/>
    </xf>
    <xf numFmtId="171" fontId="85" fillId="27" borderId="11" xfId="395" applyNumberFormat="1" applyFont="1" applyFill="1" applyBorder="1" applyAlignment="1">
      <alignment horizontal="center" vertical="center"/>
    </xf>
    <xf numFmtId="167" fontId="85" fillId="27" borderId="22" xfId="395" applyNumberFormat="1" applyFont="1" applyFill="1" applyBorder="1" applyAlignment="1">
      <alignment horizontal="center" vertical="center"/>
    </xf>
    <xf numFmtId="43" fontId="88" fillId="27" borderId="15" xfId="0" applyNumberFormat="1" applyFont="1" applyFill="1" applyBorder="1" applyAlignment="1">
      <alignment horizontal="center" vertical="center" wrapText="1"/>
    </xf>
    <xf numFmtId="43" fontId="88" fillId="27" borderId="23" xfId="0" applyNumberFormat="1" applyFont="1" applyFill="1" applyBorder="1" applyAlignment="1">
      <alignment horizontal="center" vertical="center" wrapText="1"/>
    </xf>
    <xf numFmtId="43" fontId="88" fillId="27" borderId="16" xfId="0" applyNumberFormat="1" applyFont="1" applyFill="1" applyBorder="1" applyAlignment="1">
      <alignment horizontal="center" vertical="center" wrapText="1"/>
    </xf>
    <xf numFmtId="43" fontId="64" fillId="27" borderId="0" xfId="324" applyFont="1" applyFill="1"/>
    <xf numFmtId="174" fontId="64" fillId="27" borderId="0" xfId="0" applyFont="1" applyFill="1"/>
    <xf numFmtId="43" fontId="72" fillId="27" borderId="13" xfId="337" applyFont="1" applyFill="1" applyBorder="1" applyAlignment="1">
      <alignment vertical="center"/>
    </xf>
    <xf numFmtId="174" fontId="65" fillId="27" borderId="13" xfId="0" applyNumberFormat="1" applyFont="1" applyFill="1" applyBorder="1" applyAlignment="1">
      <alignment horizontal="center" vertical="center"/>
    </xf>
    <xf numFmtId="174" fontId="65" fillId="27" borderId="13" xfId="0" applyNumberFormat="1" applyFont="1" applyFill="1" applyBorder="1" applyAlignment="1">
      <alignment horizontal="center" vertical="center" wrapText="1"/>
    </xf>
    <xf numFmtId="174" fontId="65" fillId="37" borderId="23" xfId="0" applyNumberFormat="1" applyFont="1" applyFill="1" applyBorder="1" applyAlignment="1">
      <alignment horizontal="center" vertical="center" wrapText="1"/>
    </xf>
    <xf numFmtId="49" fontId="65" fillId="37" borderId="23" xfId="0" applyNumberFormat="1" applyFont="1" applyFill="1" applyBorder="1" applyAlignment="1">
      <alignment horizontal="center" vertical="center" wrapText="1"/>
    </xf>
    <xf numFmtId="49" fontId="65" fillId="37" borderId="23" xfId="0" applyNumberFormat="1" applyFont="1" applyFill="1" applyBorder="1" applyAlignment="1">
      <alignment horizontal="center" vertical="center"/>
    </xf>
    <xf numFmtId="49" fontId="65" fillId="37" borderId="16" xfId="0" applyNumberFormat="1" applyFont="1" applyFill="1" applyBorder="1" applyAlignment="1">
      <alignment horizontal="center" vertical="center"/>
    </xf>
    <xf numFmtId="174" fontId="65" fillId="27" borderId="19" xfId="0" applyNumberFormat="1" applyFont="1" applyFill="1" applyBorder="1" applyAlignment="1">
      <alignment horizontal="left" vertical="center"/>
    </xf>
    <xf numFmtId="43" fontId="65" fillId="27" borderId="13" xfId="324" applyFont="1" applyFill="1" applyBorder="1" applyAlignment="1">
      <alignment horizontal="center" vertical="center"/>
    </xf>
    <xf numFmtId="43" fontId="65" fillId="37" borderId="23" xfId="324" applyFont="1" applyFill="1" applyBorder="1" applyAlignment="1">
      <alignment horizontal="center" vertical="center"/>
    </xf>
    <xf numFmtId="43" fontId="65" fillId="37" borderId="23" xfId="324" applyFont="1" applyFill="1" applyBorder="1" applyAlignment="1">
      <alignment horizontal="right" vertical="center"/>
    </xf>
    <xf numFmtId="43" fontId="65" fillId="37" borderId="16" xfId="324" applyFont="1" applyFill="1" applyBorder="1" applyAlignment="1">
      <alignment horizontal="right" vertical="center"/>
    </xf>
    <xf numFmtId="174" fontId="137" fillId="0" borderId="0" xfId="0" applyFont="1" applyAlignment="1">
      <alignment horizontal="center" vertical="center"/>
    </xf>
    <xf numFmtId="0" fontId="66" fillId="0" borderId="0" xfId="580" applyFont="1"/>
    <xf numFmtId="4" fontId="66" fillId="0" borderId="0" xfId="580" applyNumberFormat="1" applyFont="1"/>
    <xf numFmtId="43" fontId="66" fillId="0" borderId="0" xfId="324" applyFont="1"/>
    <xf numFmtId="43" fontId="66" fillId="0" borderId="0" xfId="580" applyNumberFormat="1" applyFont="1"/>
    <xf numFmtId="171" fontId="49" fillId="0" borderId="0" xfId="552" applyNumberFormat="1"/>
    <xf numFmtId="171" fontId="49" fillId="0" borderId="0" xfId="580" applyNumberFormat="1"/>
    <xf numFmtId="176" fontId="53" fillId="0" borderId="0" xfId="552" applyNumberFormat="1" applyFont="1"/>
    <xf numFmtId="174" fontId="72" fillId="27" borderId="12" xfId="389" applyNumberFormat="1" applyFont="1" applyFill="1" applyBorder="1" applyAlignment="1">
      <alignment horizontal="center" vertical="center" wrapText="1"/>
    </xf>
    <xf numFmtId="3" fontId="72" fillId="27" borderId="13" xfId="324" applyNumberFormat="1" applyFont="1" applyFill="1" applyBorder="1" applyAlignment="1">
      <alignment horizontal="center" vertical="center"/>
    </xf>
    <xf numFmtId="3" fontId="72" fillId="27" borderId="15" xfId="324" applyNumberFormat="1" applyFont="1" applyFill="1" applyBorder="1" applyAlignment="1">
      <alignment horizontal="center" vertical="center"/>
    </xf>
    <xf numFmtId="38" fontId="72" fillId="27" borderId="13" xfId="324" applyNumberFormat="1" applyFont="1" applyFill="1" applyBorder="1" applyAlignment="1">
      <alignment horizontal="center" vertical="center"/>
    </xf>
    <xf numFmtId="182" fontId="76" fillId="0" borderId="13" xfId="1095" applyNumberFormat="1" applyFont="1" applyFill="1" applyBorder="1" applyAlignment="1">
      <alignment horizontal="center" vertical="center"/>
    </xf>
    <xf numFmtId="182" fontId="72" fillId="0" borderId="0" xfId="1095" applyNumberFormat="1" applyFont="1" applyFill="1" applyBorder="1" applyAlignment="1">
      <alignment horizontal="center"/>
    </xf>
    <xf numFmtId="0" fontId="49" fillId="0" borderId="0" xfId="745"/>
    <xf numFmtId="0" fontId="138" fillId="0" borderId="0" xfId="745" applyFont="1" applyBorder="1" applyAlignment="1">
      <alignment horizontal="center" vertical="center"/>
    </xf>
    <xf numFmtId="0" fontId="49" fillId="0" borderId="0" xfId="745" applyAlignment="1">
      <alignment vertical="center"/>
    </xf>
    <xf numFmtId="0" fontId="72" fillId="0" borderId="13" xfId="745" applyFont="1" applyFill="1" applyBorder="1" applyAlignment="1">
      <alignment horizontal="center" vertical="center"/>
    </xf>
    <xf numFmtId="0" fontId="72" fillId="0" borderId="13" xfId="745" applyFont="1" applyFill="1" applyBorder="1" applyAlignment="1">
      <alignment horizontal="center" vertical="center" wrapText="1"/>
    </xf>
    <xf numFmtId="0" fontId="69" fillId="0" borderId="13" xfId="745" applyFont="1" applyFill="1" applyBorder="1" applyAlignment="1">
      <alignment horizontal="center"/>
    </xf>
    <xf numFmtId="43" fontId="69" fillId="0" borderId="13" xfId="324" applyFont="1" applyFill="1" applyBorder="1"/>
    <xf numFmtId="0" fontId="72" fillId="0" borderId="23" xfId="745" applyFont="1" applyFill="1" applyBorder="1" applyAlignment="1">
      <alignment horizontal="center" vertical="center" wrapText="1"/>
    </xf>
    <xf numFmtId="43" fontId="69" fillId="0" borderId="23" xfId="324" applyFont="1" applyFill="1" applyBorder="1"/>
    <xf numFmtId="43" fontId="69" fillId="0" borderId="19" xfId="324" applyFont="1" applyFill="1" applyBorder="1"/>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0" fillId="27" borderId="0" xfId="0" applyNumberFormat="1" applyFont="1" applyFill="1"/>
    <xf numFmtId="174" fontId="0" fillId="27" borderId="0" xfId="0" applyFont="1" applyFill="1" applyBorder="1"/>
    <xf numFmtId="174" fontId="88" fillId="0" borderId="16" xfId="0" applyNumberFormat="1" applyFont="1" applyFill="1" applyBorder="1" applyAlignment="1" applyProtection="1">
      <alignment horizontal="center" vertical="center" wrapText="1"/>
    </xf>
    <xf numFmtId="174" fontId="88" fillId="0" borderId="15" xfId="0" applyNumberFormat="1" applyFont="1" applyFill="1" applyBorder="1" applyAlignment="1" applyProtection="1">
      <alignment horizontal="center" vertical="center" wrapText="1"/>
    </xf>
    <xf numFmtId="174" fontId="77" fillId="0" borderId="0" xfId="0" applyFont="1" applyBorder="1"/>
    <xf numFmtId="174" fontId="77" fillId="27" borderId="0" xfId="0" applyNumberFormat="1" applyFont="1" applyFill="1" applyBorder="1"/>
    <xf numFmtId="174" fontId="88" fillId="0" borderId="23" xfId="0" applyNumberFormat="1" applyFont="1" applyFill="1" applyBorder="1" applyAlignment="1" applyProtection="1">
      <alignment horizontal="center" vertical="center" wrapText="1"/>
    </xf>
    <xf numFmtId="171" fontId="76" fillId="0" borderId="0" xfId="0" applyNumberFormat="1" applyFont="1" applyBorder="1" applyAlignment="1">
      <alignment horizontal="center"/>
    </xf>
    <xf numFmtId="3" fontId="88" fillId="0" borderId="17" xfId="0" applyNumberFormat="1" applyFont="1" applyFill="1" applyBorder="1" applyAlignment="1" applyProtection="1">
      <alignment horizontal="center"/>
    </xf>
    <xf numFmtId="3" fontId="88" fillId="0" borderId="19" xfId="0" applyNumberFormat="1" applyFont="1" applyFill="1" applyBorder="1" applyAlignment="1" applyProtection="1">
      <alignment horizontal="center"/>
    </xf>
    <xf numFmtId="3" fontId="88" fillId="0" borderId="14" xfId="0" applyNumberFormat="1" applyFont="1" applyFill="1" applyBorder="1" applyAlignment="1" applyProtection="1">
      <alignment horizontal="center"/>
    </xf>
    <xf numFmtId="174" fontId="0" fillId="0" borderId="0" xfId="0" applyAlignment="1">
      <alignment vertical="center"/>
    </xf>
    <xf numFmtId="49" fontId="88" fillId="27" borderId="18" xfId="0" applyNumberFormat="1" applyFont="1" applyFill="1" applyBorder="1" applyAlignment="1">
      <alignment horizontal="center" vertical="center"/>
    </xf>
    <xf numFmtId="174" fontId="85" fillId="0" borderId="15" xfId="0" applyNumberFormat="1" applyFont="1" applyFill="1" applyBorder="1" applyAlignment="1" applyProtection="1">
      <alignment horizontal="center" vertical="center" wrapText="1"/>
    </xf>
    <xf numFmtId="174" fontId="85" fillId="0" borderId="23" xfId="0" applyNumberFormat="1" applyFont="1" applyFill="1" applyBorder="1" applyAlignment="1" applyProtection="1">
      <alignment horizontal="center" vertical="center"/>
    </xf>
    <xf numFmtId="174" fontId="85" fillId="0" borderId="16" xfId="0" applyNumberFormat="1" applyFont="1" applyFill="1" applyBorder="1" applyAlignment="1" applyProtection="1">
      <alignment horizontal="center" vertical="center" wrapText="1"/>
    </xf>
    <xf numFmtId="3" fontId="67" fillId="0" borderId="0" xfId="337" applyNumberFormat="1" applyFont="1" applyFill="1" applyBorder="1" applyAlignment="1">
      <alignment horizontal="center"/>
    </xf>
    <xf numFmtId="3" fontId="67" fillId="0" borderId="24" xfId="337" applyNumberFormat="1" applyFont="1" applyFill="1" applyBorder="1" applyAlignment="1">
      <alignment horizontal="center"/>
    </xf>
    <xf numFmtId="3" fontId="76" fillId="0" borderId="19" xfId="0" applyNumberFormat="1" applyFont="1" applyFill="1" applyBorder="1" applyAlignment="1">
      <alignment horizontal="center"/>
    </xf>
    <xf numFmtId="10" fontId="88" fillId="0" borderId="0" xfId="329" applyNumberFormat="1" applyFont="1" applyFill="1" applyBorder="1" applyAlignment="1">
      <alignment horizontal="center" vertical="center" wrapText="1"/>
    </xf>
    <xf numFmtId="171" fontId="88" fillId="0" borderId="0" xfId="329" applyNumberFormat="1" applyFont="1" applyFill="1" applyBorder="1" applyAlignment="1">
      <alignment horizontal="center" vertical="center" wrapText="1"/>
    </xf>
    <xf numFmtId="43" fontId="88" fillId="0" borderId="24" xfId="337" applyNumberFormat="1" applyFont="1" applyFill="1" applyBorder="1" applyAlignment="1">
      <alignment horizontal="center"/>
    </xf>
    <xf numFmtId="10" fontId="88" fillId="0" borderId="24" xfId="552" applyNumberFormat="1" applyFont="1" applyFill="1" applyBorder="1" applyAlignment="1">
      <alignment horizontal="center" vertical="center" wrapText="1"/>
    </xf>
    <xf numFmtId="3" fontId="67" fillId="27" borderId="11" xfId="337" applyNumberFormat="1" applyFont="1" applyFill="1" applyBorder="1" applyAlignment="1">
      <alignment horizontal="center"/>
    </xf>
    <xf numFmtId="3" fontId="67" fillId="27" borderId="22" xfId="337" applyNumberFormat="1" applyFont="1" applyFill="1" applyBorder="1" applyAlignment="1">
      <alignment horizontal="center"/>
    </xf>
    <xf numFmtId="3" fontId="88" fillId="0" borderId="14" xfId="329" applyNumberFormat="1" applyFont="1" applyFill="1" applyBorder="1" applyAlignment="1">
      <alignment horizontal="center"/>
    </xf>
    <xf numFmtId="171" fontId="88" fillId="0" borderId="11" xfId="329" applyNumberFormat="1" applyFont="1" applyFill="1" applyBorder="1" applyAlignment="1">
      <alignment horizontal="center" vertical="center" wrapText="1"/>
    </xf>
    <xf numFmtId="10" fontId="88" fillId="0" borderId="22" xfId="552" applyNumberFormat="1" applyFont="1" applyFill="1" applyBorder="1" applyAlignment="1">
      <alignment horizontal="center" vertical="center" wrapText="1"/>
    </xf>
    <xf numFmtId="3" fontId="85" fillId="27" borderId="18" xfId="329" applyNumberFormat="1" applyFont="1" applyFill="1" applyBorder="1" applyAlignment="1">
      <alignment horizontal="right" vertical="center"/>
    </xf>
    <xf numFmtId="3" fontId="85" fillId="27" borderId="17" xfId="329" applyNumberFormat="1" applyFont="1" applyFill="1" applyBorder="1" applyAlignment="1">
      <alignment horizontal="right" vertical="center"/>
    </xf>
    <xf numFmtId="3" fontId="85" fillId="27" borderId="19" xfId="329" applyNumberFormat="1" applyFont="1" applyFill="1" applyBorder="1" applyAlignment="1">
      <alignment horizontal="right" vertical="center"/>
    </xf>
    <xf numFmtId="3" fontId="85" fillId="27" borderId="14" xfId="329" applyNumberFormat="1" applyFont="1" applyFill="1" applyBorder="1" applyAlignment="1">
      <alignment horizontal="right" vertical="center"/>
    </xf>
    <xf numFmtId="43" fontId="85" fillId="27" borderId="15" xfId="395" applyNumberFormat="1" applyFont="1" applyFill="1" applyBorder="1" applyAlignment="1">
      <alignment horizontal="center" vertical="center" wrapText="1"/>
    </xf>
    <xf numFmtId="43" fontId="85" fillId="27" borderId="16" xfId="395" applyNumberFormat="1" applyFont="1" applyFill="1" applyBorder="1" applyAlignment="1">
      <alignment horizontal="center" vertical="center" wrapText="1"/>
    </xf>
    <xf numFmtId="174" fontId="85" fillId="27" borderId="11" xfId="0" applyNumberFormat="1" applyFont="1" applyFill="1" applyBorder="1" applyAlignment="1">
      <alignment horizontal="center" vertical="center" wrapText="1"/>
    </xf>
    <xf numFmtId="174" fontId="85" fillId="27" borderId="23" xfId="0" applyNumberFormat="1" applyFont="1" applyFill="1" applyBorder="1" applyAlignment="1">
      <alignment horizontal="center" vertical="center" wrapText="1"/>
    </xf>
    <xf numFmtId="3" fontId="86" fillId="27" borderId="19" xfId="329" applyNumberFormat="1" applyFont="1" applyFill="1" applyBorder="1" applyAlignment="1">
      <alignment vertical="center"/>
    </xf>
    <xf numFmtId="174" fontId="70" fillId="0" borderId="19" xfId="0" applyFont="1" applyBorder="1"/>
    <xf numFmtId="174" fontId="70" fillId="0" borderId="24" xfId="0" applyFont="1" applyBorder="1"/>
    <xf numFmtId="174" fontId="70" fillId="0" borderId="0" xfId="389" applyFont="1"/>
    <xf numFmtId="171" fontId="88" fillId="27" borderId="0" xfId="0" applyNumberFormat="1" applyFont="1" applyFill="1" applyBorder="1"/>
    <xf numFmtId="171" fontId="88" fillId="27" borderId="24" xfId="0" applyNumberFormat="1" applyFont="1" applyFill="1" applyBorder="1"/>
    <xf numFmtId="171" fontId="88" fillId="27" borderId="23" xfId="0" applyNumberFormat="1" applyFont="1" applyFill="1" applyBorder="1"/>
    <xf numFmtId="171" fontId="88" fillId="27" borderId="16" xfId="0" applyNumberFormat="1" applyFont="1" applyFill="1" applyBorder="1"/>
    <xf numFmtId="174" fontId="85" fillId="27" borderId="23" xfId="0" applyNumberFormat="1" applyFont="1" applyFill="1" applyBorder="1" applyAlignment="1">
      <alignment horizontal="center" vertical="center" wrapText="1"/>
    </xf>
    <xf numFmtId="174" fontId="85" fillId="27" borderId="23" xfId="392" applyFont="1" applyFill="1" applyBorder="1" applyAlignment="1">
      <alignment horizontal="center" vertical="center"/>
    </xf>
    <xf numFmtId="174" fontId="85" fillId="27" borderId="13" xfId="392" applyFont="1" applyFill="1" applyBorder="1" applyAlignment="1">
      <alignment horizontal="center"/>
    </xf>
    <xf numFmtId="43" fontId="85" fillId="27" borderId="23" xfId="392" applyNumberFormat="1" applyFont="1" applyFill="1" applyBorder="1"/>
    <xf numFmtId="171" fontId="85" fillId="27" borderId="13" xfId="392" applyNumberFormat="1" applyFont="1" applyFill="1" applyBorder="1" applyAlignment="1">
      <alignment horizontal="center"/>
    </xf>
    <xf numFmtId="43" fontId="72" fillId="27" borderId="14" xfId="0" applyNumberFormat="1" applyFont="1" applyFill="1" applyBorder="1" applyAlignment="1">
      <alignment horizontal="center" vertical="center"/>
    </xf>
    <xf numFmtId="43" fontId="69" fillId="27" borderId="23" xfId="395" applyNumberFormat="1" applyFont="1" applyFill="1" applyBorder="1" applyAlignment="1">
      <alignment horizontal="right" vertical="center"/>
    </xf>
    <xf numFmtId="43" fontId="69" fillId="27" borderId="13" xfId="395" applyNumberFormat="1" applyFont="1" applyFill="1" applyBorder="1" applyAlignment="1">
      <alignment horizontal="right" vertical="center"/>
    </xf>
    <xf numFmtId="174" fontId="0" fillId="0" borderId="0" xfId="0" applyFill="1" applyBorder="1" applyAlignment="1">
      <alignment vertical="center"/>
    </xf>
    <xf numFmtId="0" fontId="3" fillId="27" borderId="13" xfId="1102" applyFont="1" applyFill="1" applyBorder="1" applyAlignment="1">
      <alignment vertical="center"/>
    </xf>
    <xf numFmtId="0" fontId="65" fillId="27" borderId="13" xfId="580" applyFont="1" applyFill="1" applyBorder="1" applyAlignment="1">
      <alignment horizontal="center"/>
    </xf>
    <xf numFmtId="43" fontId="65" fillId="27" borderId="13" xfId="580" applyNumberFormat="1" applyFont="1" applyFill="1" applyBorder="1" applyAlignment="1">
      <alignment horizontal="center"/>
    </xf>
    <xf numFmtId="43" fontId="84" fillId="27" borderId="0" xfId="324" applyFont="1" applyFill="1" applyBorder="1"/>
    <xf numFmtId="43" fontId="84" fillId="27" borderId="0" xfId="324" applyFont="1" applyFill="1" applyBorder="1" applyAlignment="1">
      <alignment horizontal="right"/>
    </xf>
    <xf numFmtId="0" fontId="3" fillId="27" borderId="19" xfId="1102" applyFont="1" applyFill="1" applyBorder="1" applyAlignment="1">
      <alignment vertical="center"/>
    </xf>
    <xf numFmtId="0" fontId="65" fillId="27" borderId="23" xfId="580" applyFont="1" applyFill="1" applyBorder="1" applyAlignment="1">
      <alignment horizontal="center"/>
    </xf>
    <xf numFmtId="43" fontId="65" fillId="27" borderId="23" xfId="580" applyNumberFormat="1" applyFont="1" applyFill="1" applyBorder="1" applyAlignment="1">
      <alignment horizontal="center"/>
    </xf>
    <xf numFmtId="43" fontId="65" fillId="27" borderId="19" xfId="324" applyFont="1" applyFill="1" applyBorder="1"/>
    <xf numFmtId="0" fontId="49" fillId="0" borderId="0" xfId="580" applyBorder="1"/>
    <xf numFmtId="174" fontId="70" fillId="0" borderId="0" xfId="0" applyFont="1"/>
    <xf numFmtId="174" fontId="85" fillId="27" borderId="13" xfId="0" applyNumberFormat="1" applyFont="1" applyFill="1" applyBorder="1" applyAlignment="1">
      <alignment horizontal="center" vertical="center" wrapText="1"/>
    </xf>
    <xf numFmtId="174" fontId="85" fillId="27" borderId="15" xfId="0" applyNumberFormat="1" applyFont="1" applyFill="1" applyBorder="1" applyAlignment="1">
      <alignment horizontal="center" vertical="center" wrapText="1"/>
    </xf>
    <xf numFmtId="174" fontId="85" fillId="27" borderId="16" xfId="0" applyNumberFormat="1" applyFont="1" applyFill="1" applyBorder="1" applyAlignment="1">
      <alignment horizontal="center" vertical="center" wrapText="1"/>
    </xf>
    <xf numFmtId="49" fontId="85" fillId="27" borderId="19" xfId="0" applyNumberFormat="1" applyFont="1" applyFill="1" applyBorder="1" applyAlignment="1">
      <alignment horizontal="center"/>
    </xf>
    <xf numFmtId="3" fontId="86" fillId="27" borderId="20" xfId="324" applyNumberFormat="1" applyFont="1" applyFill="1" applyBorder="1" applyAlignment="1">
      <alignment horizontal="center"/>
    </xf>
    <xf numFmtId="3" fontId="86" fillId="27" borderId="0" xfId="324" applyNumberFormat="1" applyFont="1" applyFill="1" applyBorder="1" applyAlignment="1">
      <alignment horizontal="center"/>
    </xf>
    <xf numFmtId="3" fontId="85" fillId="27" borderId="0" xfId="324" applyNumberFormat="1" applyFont="1" applyFill="1" applyBorder="1" applyAlignment="1">
      <alignment horizontal="center"/>
    </xf>
    <xf numFmtId="171" fontId="85" fillId="27" borderId="0" xfId="0" applyNumberFormat="1" applyFont="1" applyFill="1" applyBorder="1" applyAlignment="1">
      <alignment horizontal="center"/>
    </xf>
    <xf numFmtId="171" fontId="85" fillId="27" borderId="24" xfId="0" applyNumberFormat="1" applyFont="1" applyFill="1" applyBorder="1" applyAlignment="1">
      <alignment horizontal="center"/>
    </xf>
    <xf numFmtId="3" fontId="86" fillId="27" borderId="20" xfId="324" applyNumberFormat="1" applyFont="1" applyFill="1" applyBorder="1" applyAlignment="1">
      <alignment horizontal="center" vertical="center"/>
    </xf>
    <xf numFmtId="3" fontId="86" fillId="27" borderId="0" xfId="324" applyNumberFormat="1" applyFont="1" applyFill="1" applyBorder="1" applyAlignment="1">
      <alignment horizontal="center" vertical="center"/>
    </xf>
    <xf numFmtId="3" fontId="86" fillId="32" borderId="0" xfId="324" applyNumberFormat="1" applyFont="1" applyFill="1" applyBorder="1" applyAlignment="1">
      <alignment horizontal="center"/>
    </xf>
    <xf numFmtId="174" fontId="85" fillId="27" borderId="13" xfId="0" applyNumberFormat="1" applyFont="1" applyFill="1" applyBorder="1" applyAlignment="1">
      <alignment horizontal="center" vertical="center"/>
    </xf>
    <xf numFmtId="3" fontId="85" fillId="27" borderId="23" xfId="0" applyNumberFormat="1" applyFont="1" applyFill="1" applyBorder="1" applyAlignment="1">
      <alignment horizontal="center" vertical="center"/>
    </xf>
    <xf numFmtId="3" fontId="85" fillId="27" borderId="16" xfId="0" applyNumberFormat="1" applyFont="1" applyFill="1" applyBorder="1" applyAlignment="1">
      <alignment horizontal="center" vertical="center"/>
    </xf>
    <xf numFmtId="174" fontId="113" fillId="27" borderId="0" xfId="0" applyFont="1" applyFill="1" applyBorder="1" applyAlignment="1">
      <alignment horizontal="left" vertical="center" wrapText="1"/>
    </xf>
    <xf numFmtId="49" fontId="72" fillId="27" borderId="17" xfId="0" applyNumberFormat="1" applyFont="1" applyFill="1" applyBorder="1" applyAlignment="1">
      <alignment horizontal="center" vertical="center"/>
    </xf>
    <xf numFmtId="167" fontId="56" fillId="27" borderId="21" xfId="324" applyNumberFormat="1" applyFont="1" applyFill="1" applyBorder="1" applyAlignment="1">
      <alignment vertical="center"/>
    </xf>
    <xf numFmtId="167" fontId="56" fillId="27" borderId="12" xfId="324" applyNumberFormat="1" applyFont="1" applyFill="1" applyBorder="1" applyAlignment="1">
      <alignment vertical="center"/>
    </xf>
    <xf numFmtId="10" fontId="72" fillId="27" borderId="12" xfId="0" applyNumberFormat="1" applyFont="1" applyFill="1" applyBorder="1" applyAlignment="1">
      <alignment vertical="center"/>
    </xf>
    <xf numFmtId="10" fontId="72" fillId="27" borderId="25" xfId="0" applyNumberFormat="1" applyFont="1" applyFill="1" applyBorder="1" applyAlignment="1">
      <alignment vertical="center"/>
    </xf>
    <xf numFmtId="10" fontId="72" fillId="27" borderId="11" xfId="0" applyNumberFormat="1" applyFont="1" applyFill="1" applyBorder="1" applyAlignment="1">
      <alignment vertical="center"/>
    </xf>
    <xf numFmtId="10" fontId="72" fillId="27" borderId="22" xfId="0" applyNumberFormat="1" applyFont="1" applyFill="1" applyBorder="1" applyAlignment="1">
      <alignment vertical="center"/>
    </xf>
    <xf numFmtId="180" fontId="0" fillId="0" borderId="0" xfId="0" applyNumberFormat="1" applyFont="1" applyFill="1" applyBorder="1"/>
    <xf numFmtId="183" fontId="0" fillId="0" borderId="0" xfId="0" applyNumberFormat="1" applyFont="1"/>
    <xf numFmtId="180" fontId="0" fillId="0" borderId="0" xfId="0" applyNumberFormat="1" applyFont="1"/>
    <xf numFmtId="197" fontId="0" fillId="0" borderId="0" xfId="0" applyNumberFormat="1"/>
    <xf numFmtId="167" fontId="85" fillId="0" borderId="15" xfId="337" applyNumberFormat="1" applyFont="1" applyFill="1" applyBorder="1" applyAlignment="1">
      <alignment horizontal="center" vertical="center" wrapText="1"/>
    </xf>
    <xf numFmtId="174" fontId="70" fillId="0" borderId="0" xfId="0" applyNumberFormat="1" applyFont="1" applyAlignment="1">
      <alignment vertical="center"/>
    </xf>
    <xf numFmtId="174" fontId="70" fillId="0" borderId="0" xfId="0" applyFont="1" applyAlignment="1">
      <alignment vertical="center"/>
    </xf>
    <xf numFmtId="3" fontId="56" fillId="0" borderId="0" xfId="329" applyNumberFormat="1" applyFont="1" applyFill="1" applyBorder="1" applyAlignment="1">
      <alignment horizontal="center" vertical="center"/>
    </xf>
    <xf numFmtId="17" fontId="72" fillId="0" borderId="17" xfId="337" applyNumberFormat="1" applyFont="1" applyFill="1" applyBorder="1" applyAlignment="1">
      <alignment horizontal="left" vertical="center"/>
    </xf>
    <xf numFmtId="3" fontId="56" fillId="0" borderId="12" xfId="329" applyNumberFormat="1" applyFont="1" applyFill="1" applyBorder="1" applyAlignment="1">
      <alignment horizontal="center" vertical="center"/>
    </xf>
    <xf numFmtId="17" fontId="72" fillId="0" borderId="19" xfId="337" applyNumberFormat="1" applyFont="1" applyFill="1" applyBorder="1" applyAlignment="1">
      <alignment horizontal="left" vertical="center"/>
    </xf>
    <xf numFmtId="0" fontId="56" fillId="0" borderId="0" xfId="329" applyNumberFormat="1" applyFont="1" applyFill="1" applyBorder="1" applyAlignment="1">
      <alignment horizontal="center" vertical="center"/>
    </xf>
    <xf numFmtId="17" fontId="72" fillId="0" borderId="0" xfId="337" applyNumberFormat="1" applyFont="1" applyFill="1" applyBorder="1" applyAlignment="1">
      <alignment horizontal="left" vertical="center"/>
    </xf>
    <xf numFmtId="38" fontId="70" fillId="27" borderId="21" xfId="0" applyNumberFormat="1" applyFont="1" applyFill="1" applyBorder="1"/>
    <xf numFmtId="38" fontId="70" fillId="27" borderId="20" xfId="0" applyNumberFormat="1" applyFont="1" applyFill="1" applyBorder="1"/>
    <xf numFmtId="38" fontId="70" fillId="27" borderId="18" xfId="0" applyNumberFormat="1" applyFont="1" applyFill="1" applyBorder="1"/>
    <xf numFmtId="174" fontId="86" fillId="0" borderId="0" xfId="0" applyNumberFormat="1" applyFont="1" applyFill="1" applyBorder="1" applyAlignment="1" applyProtection="1"/>
    <xf numFmtId="174" fontId="77" fillId="0" borderId="0" xfId="0" applyFont="1"/>
    <xf numFmtId="174" fontId="67" fillId="0" borderId="0" xfId="0" applyNumberFormat="1" applyFont="1" applyFill="1" applyBorder="1" applyAlignment="1" applyProtection="1"/>
    <xf numFmtId="10" fontId="77" fillId="0" borderId="0" xfId="0" applyNumberFormat="1" applyFont="1"/>
    <xf numFmtId="174" fontId="67" fillId="0" borderId="13" xfId="0" applyNumberFormat="1" applyFont="1" applyFill="1" applyBorder="1" applyAlignment="1" applyProtection="1"/>
    <xf numFmtId="171" fontId="70" fillId="0" borderId="0" xfId="552" applyNumberFormat="1" applyFont="1"/>
    <xf numFmtId="41" fontId="70" fillId="0" borderId="0" xfId="0" applyNumberFormat="1" applyFont="1"/>
    <xf numFmtId="2" fontId="67" fillId="0" borderId="0" xfId="552" applyNumberFormat="1" applyFont="1" applyFill="1" applyBorder="1" applyAlignment="1" applyProtection="1"/>
    <xf numFmtId="10" fontId="67" fillId="0" borderId="0" xfId="552" applyNumberFormat="1" applyFont="1" applyFill="1" applyBorder="1" applyAlignment="1" applyProtection="1"/>
    <xf numFmtId="10" fontId="77" fillId="0" borderId="0" xfId="552" applyNumberFormat="1" applyFont="1"/>
    <xf numFmtId="43" fontId="58" fillId="27" borderId="11" xfId="324" applyFont="1" applyFill="1" applyBorder="1" applyAlignment="1">
      <alignment horizontal="center"/>
    </xf>
    <xf numFmtId="0" fontId="69" fillId="27" borderId="13" xfId="743" applyFont="1" applyFill="1" applyBorder="1" applyAlignment="1">
      <alignment horizontal="center"/>
    </xf>
    <xf numFmtId="43" fontId="58" fillId="27" borderId="0" xfId="337" applyNumberFormat="1" applyFont="1" applyFill="1" applyBorder="1"/>
    <xf numFmtId="176" fontId="0" fillId="0" borderId="0" xfId="552" applyNumberFormat="1" applyFont="1" applyFill="1" applyBorder="1"/>
    <xf numFmtId="180" fontId="49" fillId="0" borderId="0" xfId="447" applyNumberFormat="1" applyFont="1"/>
    <xf numFmtId="174" fontId="72" fillId="0" borderId="13" xfId="0" applyFont="1" applyFill="1" applyBorder="1" applyAlignment="1">
      <alignment horizontal="center" vertical="center" wrapText="1"/>
    </xf>
    <xf numFmtId="167" fontId="72" fillId="0" borderId="19" xfId="324" applyNumberFormat="1" applyFont="1" applyFill="1" applyBorder="1"/>
    <xf numFmtId="167" fontId="72" fillId="0" borderId="13" xfId="324" applyNumberFormat="1" applyFont="1" applyFill="1" applyBorder="1" applyAlignment="1">
      <alignment vertical="center"/>
    </xf>
    <xf numFmtId="167" fontId="71" fillId="27" borderId="19" xfId="0" applyNumberFormat="1" applyFont="1" applyFill="1" applyBorder="1" applyAlignment="1">
      <alignment horizontal="right" wrapText="1"/>
    </xf>
    <xf numFmtId="167" fontId="71" fillId="27" borderId="13" xfId="0" applyNumberFormat="1" applyFont="1" applyFill="1" applyBorder="1" applyAlignment="1">
      <alignment horizontal="right" wrapText="1"/>
    </xf>
    <xf numFmtId="167" fontId="72" fillId="27" borderId="17" xfId="0" applyNumberFormat="1" applyFont="1" applyFill="1" applyBorder="1" applyAlignment="1">
      <alignment horizontal="center" vertical="center" wrapText="1"/>
    </xf>
    <xf numFmtId="167" fontId="72" fillId="27" borderId="19" xfId="0" applyNumberFormat="1" applyFont="1" applyFill="1" applyBorder="1" applyAlignment="1">
      <alignment horizontal="center" vertical="center" wrapText="1"/>
    </xf>
    <xf numFmtId="167" fontId="72" fillId="27" borderId="14" xfId="0" applyNumberFormat="1" applyFont="1" applyFill="1" applyBorder="1" applyAlignment="1">
      <alignment horizontal="center" vertical="center" wrapText="1"/>
    </xf>
    <xf numFmtId="167" fontId="72" fillId="27" borderId="14" xfId="324" applyNumberFormat="1" applyFont="1" applyFill="1" applyBorder="1"/>
    <xf numFmtId="167" fontId="72" fillId="27" borderId="17" xfId="324" applyNumberFormat="1" applyFont="1" applyFill="1" applyBorder="1" applyAlignment="1">
      <alignment vertical="center"/>
    </xf>
    <xf numFmtId="167" fontId="72" fillId="27" borderId="19" xfId="324" applyNumberFormat="1" applyFont="1" applyFill="1" applyBorder="1" applyAlignment="1">
      <alignment vertical="center"/>
    </xf>
    <xf numFmtId="167" fontId="72" fillId="27" borderId="14" xfId="324" applyNumberFormat="1" applyFont="1" applyFill="1" applyBorder="1" applyAlignment="1">
      <alignment vertical="center"/>
    </xf>
    <xf numFmtId="171" fontId="56" fillId="0" borderId="0" xfId="552" applyNumberFormat="1" applyFont="1"/>
    <xf numFmtId="174" fontId="72" fillId="27" borderId="16" xfId="389" applyFont="1" applyFill="1" applyBorder="1" applyAlignment="1">
      <alignment horizontal="center" vertical="center" wrapText="1"/>
    </xf>
    <xf numFmtId="4" fontId="56" fillId="27" borderId="24" xfId="324" applyNumberFormat="1" applyFont="1" applyFill="1" applyBorder="1" applyAlignment="1">
      <alignment horizontal="right"/>
    </xf>
    <xf numFmtId="49" fontId="72" fillId="27" borderId="13" xfId="389" applyNumberFormat="1" applyFont="1" applyFill="1" applyBorder="1" applyAlignment="1">
      <alignment horizontal="center"/>
    </xf>
    <xf numFmtId="4" fontId="72" fillId="27" borderId="16" xfId="324" applyNumberFormat="1" applyFont="1" applyFill="1" applyBorder="1" applyAlignment="1">
      <alignment horizontal="right"/>
    </xf>
    <xf numFmtId="174" fontId="72" fillId="27" borderId="23" xfId="389" applyFont="1" applyFill="1" applyBorder="1" applyAlignment="1">
      <alignment horizontal="center" vertical="center" wrapText="1"/>
    </xf>
    <xf numFmtId="174" fontId="72" fillId="27" borderId="13" xfId="389" applyFont="1" applyFill="1" applyBorder="1" applyAlignment="1">
      <alignment horizontal="center" vertical="center" wrapText="1"/>
    </xf>
    <xf numFmtId="0" fontId="49" fillId="0" borderId="0" xfId="745" applyFill="1" applyBorder="1"/>
    <xf numFmtId="0" fontId="49" fillId="0" borderId="0" xfId="745" applyBorder="1"/>
    <xf numFmtId="174" fontId="52" fillId="0" borderId="0" xfId="316" applyAlignment="1" applyProtection="1">
      <alignment horizontal="left" indent="5"/>
    </xf>
    <xf numFmtId="174" fontId="52" fillId="0" borderId="0" xfId="316" applyAlignment="1" applyProtection="1">
      <alignment horizontal="left" indent="8"/>
    </xf>
    <xf numFmtId="174" fontId="52" fillId="0" borderId="0" xfId="316" applyAlignment="1" applyProtection="1"/>
    <xf numFmtId="174" fontId="52" fillId="27" borderId="0" xfId="316" applyFill="1" applyAlignment="1" applyProtection="1">
      <alignment horizontal="left" indent="8"/>
    </xf>
    <xf numFmtId="174" fontId="77" fillId="0" borderId="0" xfId="0" applyNumberFormat="1" applyFont="1" applyBorder="1" applyAlignment="1">
      <alignment horizontal="left"/>
    </xf>
    <xf numFmtId="0" fontId="0" fillId="0" borderId="0" xfId="0" applyNumberFormat="1"/>
    <xf numFmtId="174" fontId="91" fillId="27" borderId="0" xfId="0" applyFont="1" applyFill="1"/>
    <xf numFmtId="174" fontId="91" fillId="0" borderId="0" xfId="0" applyFont="1"/>
    <xf numFmtId="1" fontId="91" fillId="27" borderId="0" xfId="0" applyNumberFormat="1" applyFont="1" applyFill="1" applyAlignment="1">
      <alignment vertical="center"/>
    </xf>
    <xf numFmtId="2" fontId="91" fillId="27" borderId="0" xfId="0" applyNumberFormat="1" applyFont="1" applyFill="1" applyAlignment="1">
      <alignment vertical="center"/>
    </xf>
    <xf numFmtId="2" fontId="0" fillId="27" borderId="0" xfId="552" applyNumberFormat="1" applyFont="1" applyFill="1" applyAlignment="1">
      <alignment vertical="center"/>
    </xf>
    <xf numFmtId="2" fontId="58" fillId="0" borderId="0" xfId="552" applyNumberFormat="1" applyFont="1" applyFill="1" applyBorder="1" applyAlignment="1" applyProtection="1"/>
    <xf numFmtId="2" fontId="58" fillId="0" borderId="0" xfId="0" applyNumberFormat="1" applyFont="1" applyFill="1" applyBorder="1" applyAlignment="1" applyProtection="1"/>
    <xf numFmtId="174" fontId="70" fillId="0" borderId="0" xfId="0" applyNumberFormat="1" applyFont="1" applyBorder="1" applyAlignment="1">
      <alignment vertical="center"/>
    </xf>
    <xf numFmtId="174" fontId="0" fillId="0" borderId="19" xfId="0" applyBorder="1"/>
    <xf numFmtId="3" fontId="85" fillId="27" borderId="19" xfId="329" applyNumberFormat="1" applyFont="1" applyFill="1" applyBorder="1" applyAlignment="1">
      <alignment vertical="center"/>
    </xf>
    <xf numFmtId="10" fontId="67" fillId="0" borderId="0" xfId="0" applyNumberFormat="1" applyFont="1" applyFill="1" applyBorder="1" applyAlignment="1" applyProtection="1"/>
    <xf numFmtId="2" fontId="67" fillId="0" borderId="0" xfId="0" applyNumberFormat="1" applyFont="1" applyFill="1" applyBorder="1" applyAlignment="1" applyProtection="1"/>
    <xf numFmtId="174" fontId="77" fillId="0" borderId="0" xfId="0" applyNumberFormat="1" applyFont="1" applyBorder="1"/>
    <xf numFmtId="174" fontId="77" fillId="0" borderId="0" xfId="0" applyFont="1" applyAlignment="1">
      <alignment horizontal="justify" vertical="justify" wrapText="1"/>
    </xf>
    <xf numFmtId="174" fontId="77" fillId="0" borderId="0" xfId="0" applyNumberFormat="1" applyFont="1"/>
    <xf numFmtId="43" fontId="69" fillId="27" borderId="13" xfId="395" applyNumberFormat="1" applyFont="1" applyFill="1" applyBorder="1" applyAlignment="1">
      <alignment horizontal="left" vertical="center" wrapText="1"/>
    </xf>
    <xf numFmtId="43" fontId="69" fillId="27" borderId="23" xfId="395" applyNumberFormat="1" applyFont="1" applyFill="1" applyBorder="1" applyAlignment="1">
      <alignment horizontal="center" vertical="center" wrapText="1"/>
    </xf>
    <xf numFmtId="43" fontId="69" fillId="27" borderId="16" xfId="395" applyNumberFormat="1" applyFont="1" applyFill="1" applyBorder="1" applyAlignment="1">
      <alignment horizontal="center" vertical="center" wrapText="1"/>
    </xf>
    <xf numFmtId="167" fontId="67" fillId="27" borderId="14" xfId="324" applyNumberFormat="1" applyFont="1" applyFill="1" applyBorder="1" applyAlignment="1">
      <alignment horizontal="center" vertical="center"/>
    </xf>
    <xf numFmtId="49" fontId="88" fillId="0" borderId="20" xfId="0" applyNumberFormat="1" applyFont="1" applyFill="1" applyBorder="1" applyAlignment="1">
      <alignment horizontal="center"/>
    </xf>
    <xf numFmtId="167" fontId="67" fillId="0" borderId="19" xfId="324" applyNumberFormat="1" applyFont="1" applyFill="1" applyBorder="1" applyAlignment="1">
      <alignment horizontal="center" vertical="center"/>
    </xf>
    <xf numFmtId="174" fontId="88" fillId="0" borderId="13" xfId="0" applyNumberFormat="1" applyFont="1" applyFill="1" applyBorder="1" applyAlignment="1">
      <alignment horizontal="center"/>
    </xf>
    <xf numFmtId="167" fontId="88" fillId="0" borderId="22" xfId="324" applyNumberFormat="1" applyFont="1" applyFill="1" applyBorder="1" applyAlignment="1">
      <alignment horizontal="center" vertical="center"/>
    </xf>
    <xf numFmtId="167" fontId="67" fillId="27" borderId="19" xfId="324" applyNumberFormat="1" applyFont="1" applyFill="1" applyBorder="1" applyAlignment="1">
      <alignment horizontal="center" vertical="center"/>
    </xf>
    <xf numFmtId="3" fontId="139" fillId="0" borderId="0" xfId="349" applyNumberFormat="1" applyFont="1" applyFill="1" applyBorder="1" applyAlignment="1">
      <alignment horizontal="center" vertical="center" wrapText="1"/>
    </xf>
    <xf numFmtId="171" fontId="103" fillId="0" borderId="0" xfId="552" applyNumberFormat="1" applyFont="1"/>
    <xf numFmtId="167" fontId="72" fillId="27" borderId="21" xfId="324" applyNumberFormat="1" applyFont="1" applyFill="1" applyBorder="1" applyAlignment="1">
      <alignment vertical="center"/>
    </xf>
    <xf numFmtId="41" fontId="72" fillId="27" borderId="25" xfId="0" applyNumberFormat="1" applyFont="1" applyFill="1" applyBorder="1" applyAlignment="1">
      <alignment horizontal="center" vertical="center"/>
    </xf>
    <xf numFmtId="167" fontId="72" fillId="27" borderId="17" xfId="0" applyNumberFormat="1" applyFont="1" applyFill="1" applyBorder="1" applyAlignment="1">
      <alignment horizontal="center" vertical="center"/>
    </xf>
    <xf numFmtId="167" fontId="72" fillId="27" borderId="13" xfId="324" applyNumberFormat="1" applyFont="1" applyFill="1" applyBorder="1" applyAlignment="1">
      <alignment horizontal="center" vertical="center"/>
    </xf>
    <xf numFmtId="174" fontId="85" fillId="27" borderId="13" xfId="0" applyNumberFormat="1" applyFont="1" applyFill="1" applyBorder="1" applyAlignment="1" applyProtection="1">
      <alignment horizontal="center" vertical="center"/>
    </xf>
    <xf numFmtId="174" fontId="85" fillId="27" borderId="23" xfId="0" applyNumberFormat="1" applyFont="1" applyFill="1" applyBorder="1" applyAlignment="1" applyProtection="1">
      <alignment horizontal="center" vertical="center"/>
    </xf>
    <xf numFmtId="171" fontId="0" fillId="0" borderId="0" xfId="552" applyNumberFormat="1" applyFont="1" applyFill="1" applyBorder="1" applyAlignment="1"/>
    <xf numFmtId="167" fontId="71" fillId="0" borderId="19" xfId="324" applyNumberFormat="1" applyFont="1" applyFill="1" applyBorder="1"/>
    <xf numFmtId="167" fontId="71" fillId="0" borderId="13" xfId="324" applyNumberFormat="1" applyFont="1" applyFill="1" applyBorder="1"/>
    <xf numFmtId="167" fontId="64" fillId="27" borderId="0" xfId="324" applyNumberFormat="1" applyFont="1" applyFill="1" applyBorder="1" applyAlignment="1">
      <alignment horizontal="center"/>
    </xf>
    <xf numFmtId="174" fontId="91" fillId="0" borderId="0" xfId="0" applyFont="1" applyAlignment="1">
      <alignment horizontal="justify" vertical="justify" wrapText="1"/>
    </xf>
    <xf numFmtId="174" fontId="74" fillId="0" borderId="0" xfId="0" applyFont="1" applyFill="1" applyBorder="1" applyAlignment="1">
      <alignment horizontal="center" vertical="center" wrapText="1"/>
    </xf>
    <xf numFmtId="17" fontId="85" fillId="27" borderId="14" xfId="0" applyNumberFormat="1" applyFont="1" applyFill="1" applyBorder="1" applyAlignment="1">
      <alignment horizontal="center" vertical="center"/>
    </xf>
    <xf numFmtId="174" fontId="85" fillId="0" borderId="0" xfId="0" applyFont="1" applyFill="1" applyBorder="1" applyAlignment="1">
      <alignment horizontal="center" vertical="center" wrapText="1"/>
    </xf>
    <xf numFmtId="2" fontId="0" fillId="0" borderId="0" xfId="0" applyNumberFormat="1" applyFont="1" applyAlignment="1">
      <alignment horizontal="center"/>
    </xf>
    <xf numFmtId="171" fontId="55" fillId="0" borderId="0" xfId="552" applyNumberFormat="1" applyFont="1" applyFill="1" applyBorder="1"/>
    <xf numFmtId="174" fontId="72" fillId="0" borderId="17" xfId="0" applyNumberFormat="1" applyFont="1" applyFill="1" applyBorder="1" applyAlignment="1">
      <alignment horizontal="center" vertical="center" wrapText="1"/>
    </xf>
    <xf numFmtId="171" fontId="76" fillId="0" borderId="17" xfId="552" applyNumberFormat="1" applyFont="1" applyBorder="1"/>
    <xf numFmtId="167" fontId="76" fillId="0" borderId="21" xfId="324" applyNumberFormat="1" applyFont="1" applyBorder="1"/>
    <xf numFmtId="167" fontId="76" fillId="0" borderId="20" xfId="324" applyNumberFormat="1" applyFont="1" applyBorder="1"/>
    <xf numFmtId="174" fontId="88" fillId="0" borderId="25" xfId="0" applyNumberFormat="1" applyFont="1" applyFill="1" applyBorder="1" applyAlignment="1" applyProtection="1">
      <alignment horizontal="center" vertical="center" wrapText="1"/>
    </xf>
    <xf numFmtId="171" fontId="76" fillId="0" borderId="19" xfId="552" applyNumberFormat="1" applyFont="1" applyBorder="1"/>
    <xf numFmtId="171" fontId="76" fillId="0" borderId="14" xfId="552" applyNumberFormat="1" applyFont="1" applyBorder="1"/>
    <xf numFmtId="171" fontId="140" fillId="0" borderId="0" xfId="552" applyNumberFormat="1" applyFont="1"/>
    <xf numFmtId="174" fontId="81" fillId="0" borderId="0" xfId="0" applyNumberFormat="1" applyFont="1" applyFill="1" applyBorder="1" applyAlignment="1">
      <alignment horizontal="center" vertical="center" wrapText="1"/>
    </xf>
    <xf numFmtId="174" fontId="140" fillId="0" borderId="0" xfId="0" applyFont="1"/>
    <xf numFmtId="3" fontId="141" fillId="0" borderId="0" xfId="337" applyNumberFormat="1" applyFont="1" applyFill="1" applyBorder="1" applyAlignment="1"/>
    <xf numFmtId="171" fontId="140" fillId="0" borderId="0" xfId="0" applyNumberFormat="1" applyFont="1"/>
    <xf numFmtId="174" fontId="140" fillId="0" borderId="0" xfId="0" applyNumberFormat="1" applyFont="1" applyBorder="1" applyAlignment="1"/>
    <xf numFmtId="174" fontId="140" fillId="0" borderId="0" xfId="0" applyNumberFormat="1" applyFont="1" applyBorder="1" applyAlignment="1">
      <alignment horizontal="left"/>
    </xf>
    <xf numFmtId="174" fontId="140" fillId="0" borderId="0" xfId="0" applyFont="1" applyAlignment="1">
      <alignment horizontal="justify" vertical="justify" wrapText="1"/>
    </xf>
    <xf numFmtId="174" fontId="140" fillId="0" borderId="0" xfId="0" applyNumberFormat="1" applyFont="1"/>
    <xf numFmtId="180" fontId="54" fillId="32" borderId="0" xfId="0" applyNumberFormat="1" applyFont="1" applyFill="1"/>
    <xf numFmtId="10" fontId="142" fillId="0" borderId="0" xfId="552" applyNumberFormat="1" applyFont="1"/>
    <xf numFmtId="171" fontId="85" fillId="27" borderId="24" xfId="552" applyNumberFormat="1" applyFont="1" applyFill="1" applyBorder="1" applyAlignment="1">
      <alignment horizontal="center" vertical="center"/>
    </xf>
    <xf numFmtId="174" fontId="85" fillId="0" borderId="13" xfId="348" applyNumberFormat="1" applyFont="1" applyFill="1" applyBorder="1" applyAlignment="1">
      <alignment horizontal="center" vertical="center"/>
    </xf>
    <xf numFmtId="174" fontId="85" fillId="0" borderId="23" xfId="348" applyFont="1" applyFill="1" applyBorder="1" applyAlignment="1">
      <alignment horizontal="center" vertical="center" wrapText="1"/>
    </xf>
    <xf numFmtId="174" fontId="85" fillId="0" borderId="16" xfId="348" applyFont="1" applyFill="1" applyBorder="1" applyAlignment="1">
      <alignment horizontal="center" vertical="center" wrapText="1"/>
    </xf>
    <xf numFmtId="17" fontId="85" fillId="0" borderId="19" xfId="395" applyNumberFormat="1" applyFont="1" applyFill="1" applyBorder="1" applyAlignment="1">
      <alignment horizontal="center"/>
    </xf>
    <xf numFmtId="17" fontId="85" fillId="0" borderId="14" xfId="395" applyNumberFormat="1" applyFont="1" applyFill="1" applyBorder="1" applyAlignment="1">
      <alignment horizontal="center"/>
    </xf>
    <xf numFmtId="171" fontId="88" fillId="27" borderId="0" xfId="552" applyNumberFormat="1" applyFont="1" applyFill="1" applyBorder="1" applyAlignment="1" applyProtection="1"/>
    <xf numFmtId="167" fontId="0" fillId="0" borderId="0" xfId="0" applyNumberFormat="1" applyAlignment="1">
      <alignment horizontal="left" indent="1"/>
    </xf>
    <xf numFmtId="49" fontId="85" fillId="27" borderId="13" xfId="0" applyNumberFormat="1" applyFont="1" applyFill="1" applyBorder="1" applyAlignment="1">
      <alignment horizontal="center" vertical="center"/>
    </xf>
    <xf numFmtId="174" fontId="85" fillId="27" borderId="23" xfId="0" applyFont="1" applyFill="1" applyBorder="1" applyAlignment="1">
      <alignment horizontal="center" vertical="center" wrapText="1"/>
    </xf>
    <xf numFmtId="174" fontId="85" fillId="27" borderId="16" xfId="0" applyFont="1" applyFill="1" applyBorder="1" applyAlignment="1">
      <alignment horizontal="center" vertical="center" wrapText="1"/>
    </xf>
    <xf numFmtId="174" fontId="85" fillId="27" borderId="13" xfId="0" applyFont="1" applyFill="1" applyBorder="1" applyAlignment="1">
      <alignment horizontal="center"/>
    </xf>
    <xf numFmtId="167" fontId="85" fillId="27" borderId="23" xfId="324" applyNumberFormat="1" applyFont="1" applyFill="1" applyBorder="1"/>
    <xf numFmtId="10" fontId="85" fillId="27" borderId="16" xfId="0" applyNumberFormat="1" applyFont="1" applyFill="1" applyBorder="1"/>
    <xf numFmtId="43" fontId="58" fillId="0" borderId="21" xfId="324" applyFont="1" applyFill="1" applyBorder="1"/>
    <xf numFmtId="43" fontId="58" fillId="0" borderId="20" xfId="324" applyFont="1" applyFill="1" applyBorder="1"/>
    <xf numFmtId="43" fontId="58" fillId="0" borderId="18" xfId="324" applyFont="1" applyFill="1" applyBorder="1"/>
    <xf numFmtId="10" fontId="69" fillId="0" borderId="17" xfId="552" applyNumberFormat="1" applyFont="1" applyFill="1" applyBorder="1"/>
    <xf numFmtId="10" fontId="69" fillId="0" borderId="19" xfId="552" applyNumberFormat="1" applyFont="1" applyFill="1" applyBorder="1"/>
    <xf numFmtId="10" fontId="69" fillId="0" borderId="14" xfId="552" applyNumberFormat="1" applyFont="1" applyFill="1" applyBorder="1"/>
    <xf numFmtId="174" fontId="63" fillId="27" borderId="0" xfId="0" applyFont="1" applyFill="1" applyBorder="1" applyAlignment="1">
      <alignment horizontal="center" vertical="center" wrapText="1"/>
    </xf>
    <xf numFmtId="43" fontId="56" fillId="27" borderId="0" xfId="324" applyNumberFormat="1" applyFont="1" applyFill="1" applyBorder="1" applyAlignment="1">
      <alignment horizontal="center"/>
    </xf>
    <xf numFmtId="174" fontId="72" fillId="27" borderId="0" xfId="447" applyFont="1" applyFill="1" applyBorder="1" applyAlignment="1">
      <alignment horizontal="center"/>
    </xf>
    <xf numFmtId="10" fontId="72" fillId="27" borderId="24" xfId="447" applyNumberFormat="1" applyFont="1" applyFill="1" applyBorder="1" applyAlignment="1">
      <alignment horizontal="center"/>
    </xf>
    <xf numFmtId="10" fontId="72" fillId="27" borderId="0" xfId="447" applyNumberFormat="1" applyFont="1" applyFill="1" applyBorder="1" applyAlignment="1">
      <alignment horizontal="center"/>
    </xf>
    <xf numFmtId="43" fontId="56" fillId="27" borderId="12" xfId="324" applyNumberFormat="1" applyFont="1" applyFill="1" applyBorder="1" applyAlignment="1">
      <alignment horizontal="center"/>
    </xf>
    <xf numFmtId="43" fontId="56" fillId="27" borderId="11" xfId="324" applyNumberFormat="1" applyFont="1" applyFill="1" applyBorder="1" applyAlignment="1">
      <alignment horizontal="center"/>
    </xf>
    <xf numFmtId="43" fontId="56" fillId="27" borderId="21" xfId="324" applyNumberFormat="1" applyFont="1" applyFill="1" applyBorder="1" applyAlignment="1">
      <alignment horizontal="right"/>
    </xf>
    <xf numFmtId="10" fontId="72" fillId="27" borderId="12" xfId="447" applyNumberFormat="1" applyFont="1" applyFill="1" applyBorder="1" applyAlignment="1">
      <alignment horizontal="right"/>
    </xf>
    <xf numFmtId="10" fontId="72" fillId="27" borderId="25" xfId="447" applyNumberFormat="1" applyFont="1" applyFill="1" applyBorder="1" applyAlignment="1">
      <alignment horizontal="right"/>
    </xf>
    <xf numFmtId="43" fontId="56" fillId="27" borderId="20" xfId="324" applyNumberFormat="1" applyFont="1" applyFill="1" applyBorder="1" applyAlignment="1">
      <alignment horizontal="right"/>
    </xf>
    <xf numFmtId="10" fontId="72" fillId="27" borderId="0" xfId="447" applyNumberFormat="1" applyFont="1" applyFill="1" applyBorder="1" applyAlignment="1">
      <alignment horizontal="right"/>
    </xf>
    <xf numFmtId="10" fontId="72" fillId="27" borderId="24" xfId="447" applyNumberFormat="1" applyFont="1" applyFill="1" applyBorder="1" applyAlignment="1">
      <alignment horizontal="right"/>
    </xf>
    <xf numFmtId="43" fontId="56" fillId="27" borderId="18" xfId="324" applyNumberFormat="1" applyFont="1" applyFill="1" applyBorder="1" applyAlignment="1">
      <alignment horizontal="right"/>
    </xf>
    <xf numFmtId="174" fontId="0" fillId="0" borderId="11" xfId="0" applyBorder="1" applyAlignment="1">
      <alignment horizontal="right"/>
    </xf>
    <xf numFmtId="10" fontId="72" fillId="27" borderId="22" xfId="447" applyNumberFormat="1" applyFont="1" applyFill="1" applyBorder="1" applyAlignment="1">
      <alignment horizontal="right"/>
    </xf>
    <xf numFmtId="180" fontId="0" fillId="0" borderId="0" xfId="552" applyNumberFormat="1" applyFont="1"/>
    <xf numFmtId="10" fontId="71" fillId="27" borderId="16" xfId="0" applyNumberFormat="1" applyFont="1" applyFill="1" applyBorder="1" applyAlignment="1">
      <alignment horizontal="right" wrapText="1"/>
    </xf>
    <xf numFmtId="0" fontId="69" fillId="27" borderId="0" xfId="794" applyFont="1" applyFill="1" applyBorder="1" applyAlignment="1">
      <alignment horizontal="center"/>
    </xf>
    <xf numFmtId="3" fontId="56" fillId="0" borderId="21" xfId="0" applyNumberFormat="1" applyFont="1" applyFill="1" applyBorder="1" applyAlignment="1" applyProtection="1">
      <alignment horizontal="center"/>
    </xf>
    <xf numFmtId="3" fontId="56" fillId="0" borderId="12" xfId="0" applyNumberFormat="1" applyFont="1" applyFill="1" applyBorder="1" applyAlignment="1" applyProtection="1">
      <alignment horizontal="center"/>
    </xf>
    <xf numFmtId="3" fontId="72" fillId="0" borderId="17" xfId="0" applyNumberFormat="1" applyFont="1" applyFill="1" applyBorder="1" applyAlignment="1" applyProtection="1">
      <alignment horizontal="center"/>
    </xf>
    <xf numFmtId="3" fontId="58" fillId="0" borderId="12" xfId="0" applyNumberFormat="1" applyFont="1" applyFill="1" applyBorder="1" applyAlignment="1" applyProtection="1">
      <alignment horizontal="center"/>
    </xf>
    <xf numFmtId="175" fontId="72" fillId="0" borderId="25" xfId="0" applyNumberFormat="1" applyFont="1" applyFill="1" applyBorder="1" applyAlignment="1" applyProtection="1">
      <alignment horizontal="center"/>
    </xf>
    <xf numFmtId="3" fontId="56" fillId="0" borderId="20" xfId="0" applyNumberFormat="1" applyFont="1" applyFill="1" applyBorder="1" applyAlignment="1" applyProtection="1">
      <alignment horizontal="center"/>
    </xf>
    <xf numFmtId="3" fontId="56" fillId="0" borderId="0" xfId="0" applyNumberFormat="1" applyFont="1" applyFill="1" applyBorder="1" applyAlignment="1" applyProtection="1">
      <alignment horizontal="center"/>
    </xf>
    <xf numFmtId="3" fontId="72" fillId="0" borderId="19" xfId="0" applyNumberFormat="1" applyFont="1" applyFill="1" applyBorder="1" applyAlignment="1" applyProtection="1">
      <alignment horizontal="center"/>
    </xf>
    <xf numFmtId="3" fontId="58" fillId="0" borderId="0" xfId="0" applyNumberFormat="1" applyFont="1" applyFill="1" applyBorder="1" applyAlignment="1" applyProtection="1">
      <alignment horizontal="center"/>
    </xf>
    <xf numFmtId="175" fontId="72" fillId="0" borderId="24" xfId="0" applyNumberFormat="1" applyFont="1" applyFill="1" applyBorder="1" applyAlignment="1" applyProtection="1">
      <alignment horizontal="center"/>
    </xf>
    <xf numFmtId="3" fontId="58" fillId="27" borderId="0" xfId="0" applyNumberFormat="1" applyFont="1" applyFill="1" applyBorder="1" applyAlignment="1" applyProtection="1">
      <alignment horizontal="center"/>
    </xf>
    <xf numFmtId="3" fontId="88" fillId="0" borderId="15" xfId="0" applyNumberFormat="1" applyFont="1" applyFill="1" applyBorder="1" applyAlignment="1" applyProtection="1">
      <alignment vertical="center"/>
    </xf>
    <xf numFmtId="167" fontId="76" fillId="27" borderId="15" xfId="324" applyNumberFormat="1" applyFont="1" applyFill="1" applyBorder="1" applyAlignment="1">
      <alignment vertical="center"/>
    </xf>
    <xf numFmtId="174" fontId="76" fillId="27" borderId="23" xfId="0" applyNumberFormat="1" applyFont="1" applyFill="1" applyBorder="1" applyAlignment="1">
      <alignment vertical="center"/>
    </xf>
    <xf numFmtId="167" fontId="76" fillId="27" borderId="23" xfId="324" applyNumberFormat="1" applyFont="1" applyFill="1" applyBorder="1" applyAlignment="1">
      <alignment vertical="center"/>
    </xf>
    <xf numFmtId="167" fontId="76" fillId="0" borderId="13" xfId="324" applyNumberFormat="1" applyFont="1" applyBorder="1" applyAlignment="1">
      <alignment vertical="center"/>
    </xf>
    <xf numFmtId="9" fontId="76" fillId="0" borderId="14" xfId="552" applyFont="1" applyBorder="1" applyAlignment="1">
      <alignment vertical="center"/>
    </xf>
    <xf numFmtId="174" fontId="0" fillId="27" borderId="0" xfId="0" applyNumberFormat="1" applyFill="1" applyAlignment="1">
      <alignment vertical="center"/>
    </xf>
    <xf numFmtId="174" fontId="55" fillId="27" borderId="13" xfId="0" applyNumberFormat="1" applyFont="1" applyFill="1" applyBorder="1" applyAlignment="1">
      <alignment horizontal="center" vertical="center" wrapText="1"/>
    </xf>
    <xf numFmtId="3" fontId="86" fillId="27" borderId="0" xfId="329" applyNumberFormat="1" applyFont="1" applyFill="1" applyBorder="1" applyAlignment="1">
      <alignment horizontal="center"/>
    </xf>
    <xf numFmtId="3" fontId="85" fillId="27" borderId="0" xfId="329" applyNumberFormat="1" applyFont="1" applyFill="1" applyBorder="1" applyAlignment="1">
      <alignment horizontal="center"/>
    </xf>
    <xf numFmtId="3" fontId="85" fillId="27" borderId="19" xfId="329" applyNumberFormat="1" applyFont="1" applyFill="1" applyBorder="1" applyAlignment="1">
      <alignment horizontal="center"/>
    </xf>
    <xf numFmtId="2" fontId="85" fillId="27" borderId="24" xfId="552" applyNumberFormat="1" applyFont="1" applyFill="1" applyBorder="1" applyAlignment="1">
      <alignment horizontal="center"/>
    </xf>
    <xf numFmtId="3" fontId="85" fillId="27" borderId="14" xfId="329" applyNumberFormat="1" applyFont="1" applyFill="1" applyBorder="1" applyAlignment="1">
      <alignment horizontal="center"/>
    </xf>
    <xf numFmtId="2" fontId="85" fillId="27" borderId="22" xfId="552" applyNumberFormat="1" applyFont="1" applyFill="1" applyBorder="1" applyAlignment="1">
      <alignment horizontal="center"/>
    </xf>
    <xf numFmtId="174" fontId="88" fillId="0" borderId="13" xfId="337" applyNumberFormat="1" applyFont="1" applyFill="1" applyBorder="1" applyAlignment="1">
      <alignment horizontal="center" vertical="center" wrapText="1"/>
    </xf>
    <xf numFmtId="167" fontId="88" fillId="0" borderId="23" xfId="337" applyNumberFormat="1" applyFont="1" applyFill="1" applyBorder="1" applyAlignment="1">
      <alignment horizontal="center" vertical="center" wrapText="1"/>
    </xf>
    <xf numFmtId="167" fontId="88" fillId="0" borderId="16" xfId="337" applyNumberFormat="1" applyFont="1" applyFill="1" applyBorder="1" applyAlignment="1">
      <alignment horizontal="center" vertical="center" wrapText="1"/>
    </xf>
    <xf numFmtId="17" fontId="88" fillId="0" borderId="19" xfId="337" applyNumberFormat="1" applyFont="1" applyFill="1" applyBorder="1" applyAlignment="1">
      <alignment horizontal="center" vertical="center"/>
    </xf>
    <xf numFmtId="3" fontId="67" fillId="27" borderId="0" xfId="329" applyNumberFormat="1" applyFont="1" applyFill="1" applyBorder="1" applyAlignment="1">
      <alignment horizontal="center" vertical="center"/>
    </xf>
    <xf numFmtId="3" fontId="67" fillId="27" borderId="0" xfId="326" applyNumberFormat="1" applyFont="1" applyFill="1" applyBorder="1" applyAlignment="1">
      <alignment horizontal="center" vertical="center"/>
    </xf>
    <xf numFmtId="17" fontId="88" fillId="27" borderId="19" xfId="337" applyNumberFormat="1" applyFont="1" applyFill="1" applyBorder="1" applyAlignment="1">
      <alignment horizontal="center" vertical="center"/>
    </xf>
    <xf numFmtId="3" fontId="67" fillId="0" borderId="0" xfId="329" applyNumberFormat="1" applyFont="1" applyFill="1" applyBorder="1" applyAlignment="1">
      <alignment horizontal="center" vertical="center"/>
    </xf>
    <xf numFmtId="171" fontId="76" fillId="0" borderId="24" xfId="0" applyNumberFormat="1" applyFont="1" applyFill="1" applyBorder="1" applyAlignment="1">
      <alignment horizontal="center" vertical="center"/>
    </xf>
    <xf numFmtId="17" fontId="88" fillId="0" borderId="14" xfId="337" applyNumberFormat="1" applyFont="1" applyFill="1" applyBorder="1" applyAlignment="1">
      <alignment horizontal="center" vertical="center"/>
    </xf>
    <xf numFmtId="171" fontId="76" fillId="0" borderId="22" xfId="0" applyNumberFormat="1" applyFont="1" applyFill="1" applyBorder="1" applyAlignment="1">
      <alignment horizontal="center" vertical="center"/>
    </xf>
    <xf numFmtId="174" fontId="72" fillId="27" borderId="17" xfId="389" applyNumberFormat="1" applyFont="1" applyFill="1" applyBorder="1" applyAlignment="1">
      <alignment horizontal="center" vertical="center"/>
    </xf>
    <xf numFmtId="177" fontId="0" fillId="0" borderId="0" xfId="0" applyNumberFormat="1"/>
    <xf numFmtId="174" fontId="72" fillId="27" borderId="17" xfId="389" applyNumberFormat="1" applyFont="1" applyFill="1" applyBorder="1" applyAlignment="1">
      <alignment horizontal="center" vertical="center" wrapText="1"/>
    </xf>
    <xf numFmtId="171" fontId="72" fillId="27" borderId="17" xfId="389" applyNumberFormat="1" applyFont="1" applyFill="1" applyBorder="1" applyAlignment="1">
      <alignment horizontal="center" vertical="center"/>
    </xf>
    <xf numFmtId="171" fontId="72" fillId="27" borderId="19" xfId="389" applyNumberFormat="1" applyFont="1" applyFill="1" applyBorder="1" applyAlignment="1">
      <alignment horizontal="center" vertical="center"/>
    </xf>
    <xf numFmtId="171" fontId="72" fillId="27" borderId="14" xfId="389" applyNumberFormat="1" applyFont="1" applyFill="1" applyBorder="1" applyAlignment="1">
      <alignment horizontal="center" vertical="center"/>
    </xf>
    <xf numFmtId="0" fontId="72" fillId="27" borderId="17" xfId="389" applyNumberFormat="1" applyFont="1" applyFill="1" applyBorder="1" applyAlignment="1">
      <alignment horizontal="center" vertical="center"/>
    </xf>
    <xf numFmtId="0" fontId="72" fillId="27" borderId="14" xfId="389" applyNumberFormat="1" applyFont="1" applyFill="1" applyBorder="1" applyAlignment="1">
      <alignment horizontal="center" vertical="center"/>
    </xf>
    <xf numFmtId="3" fontId="67" fillId="27" borderId="11" xfId="329" applyNumberFormat="1" applyFont="1" applyFill="1" applyBorder="1" applyAlignment="1">
      <alignment horizontal="center" vertical="center"/>
    </xf>
    <xf numFmtId="167" fontId="86" fillId="27" borderId="0" xfId="324" applyNumberFormat="1" applyFont="1" applyFill="1" applyBorder="1" applyAlignment="1"/>
    <xf numFmtId="173" fontId="86" fillId="27" borderId="0" xfId="324" applyNumberFormat="1" applyFont="1" applyFill="1" applyBorder="1" applyAlignment="1"/>
    <xf numFmtId="10" fontId="85" fillId="27" borderId="24" xfId="0" applyNumberFormat="1" applyFont="1" applyFill="1" applyBorder="1" applyAlignment="1"/>
    <xf numFmtId="188" fontId="49" fillId="0" borderId="0" xfId="389" applyNumberFormat="1" applyFont="1" applyBorder="1"/>
    <xf numFmtId="174" fontId="0" fillId="0" borderId="0" xfId="389" applyFont="1" applyBorder="1"/>
    <xf numFmtId="188" fontId="49" fillId="0" borderId="0" xfId="552" applyNumberFormat="1" applyFont="1" applyBorder="1"/>
    <xf numFmtId="40" fontId="56" fillId="27" borderId="0" xfId="324" applyNumberFormat="1" applyFont="1" applyFill="1" applyBorder="1" applyAlignment="1">
      <alignment horizontal="right"/>
    </xf>
    <xf numFmtId="40" fontId="49" fillId="0" borderId="0" xfId="743" applyNumberFormat="1"/>
    <xf numFmtId="43" fontId="49" fillId="0" borderId="0" xfId="745" applyNumberFormat="1" applyAlignment="1">
      <alignment vertical="center"/>
    </xf>
    <xf numFmtId="40" fontId="72" fillId="27" borderId="13" xfId="324" applyNumberFormat="1" applyFont="1" applyFill="1" applyBorder="1" applyAlignment="1">
      <alignment vertical="center"/>
    </xf>
    <xf numFmtId="40" fontId="56" fillId="27" borderId="20" xfId="324" applyNumberFormat="1" applyFont="1" applyFill="1" applyBorder="1" applyAlignment="1">
      <alignment horizontal="right"/>
    </xf>
    <xf numFmtId="0" fontId="0" fillId="0" borderId="0" xfId="745" applyFont="1"/>
    <xf numFmtId="174" fontId="64" fillId="0" borderId="0" xfId="0" applyNumberFormat="1" applyFont="1" applyBorder="1" applyAlignment="1">
      <alignment wrapText="1"/>
    </xf>
    <xf numFmtId="0" fontId="69" fillId="27" borderId="19" xfId="743" applyFont="1" applyFill="1" applyBorder="1" applyAlignment="1">
      <alignment horizontal="center"/>
    </xf>
    <xf numFmtId="174" fontId="64" fillId="27" borderId="0" xfId="0" applyNumberFormat="1" applyFont="1" applyFill="1" applyBorder="1" applyAlignment="1">
      <alignment wrapText="1"/>
    </xf>
    <xf numFmtId="43" fontId="49" fillId="0" borderId="0" xfId="743" applyNumberFormat="1"/>
    <xf numFmtId="40" fontId="72" fillId="27" borderId="19" xfId="324" applyNumberFormat="1" applyFont="1" applyFill="1" applyBorder="1" applyAlignment="1">
      <alignment vertical="center"/>
    </xf>
    <xf numFmtId="10" fontId="49" fillId="0" borderId="0" xfId="744" applyNumberFormat="1"/>
    <xf numFmtId="43" fontId="146" fillId="0" borderId="0" xfId="674" applyFont="1" applyBorder="1" applyAlignment="1" applyProtection="1">
      <alignment horizontal="right" vertical="center"/>
      <protection locked="0"/>
    </xf>
    <xf numFmtId="43" fontId="34" fillId="27" borderId="0" xfId="337" applyFont="1" applyFill="1" applyBorder="1" applyAlignment="1">
      <alignment horizontal="center"/>
    </xf>
    <xf numFmtId="174" fontId="85" fillId="27" borderId="23" xfId="451" applyFont="1" applyFill="1" applyBorder="1" applyAlignment="1">
      <alignment horizontal="center" vertical="center" wrapText="1"/>
    </xf>
    <xf numFmtId="174" fontId="85" fillId="27" borderId="16" xfId="451" applyFont="1" applyFill="1" applyBorder="1" applyAlignment="1">
      <alignment horizontal="center" vertical="center" wrapText="1"/>
    </xf>
    <xf numFmtId="174" fontId="0" fillId="0" borderId="0" xfId="0" applyBorder="1" applyAlignment="1">
      <alignment horizontal="center"/>
    </xf>
    <xf numFmtId="4" fontId="56" fillId="27" borderId="20" xfId="324" applyNumberFormat="1" applyFont="1" applyFill="1" applyBorder="1" applyAlignment="1">
      <alignment horizontal="center"/>
    </xf>
    <xf numFmtId="4" fontId="56" fillId="27" borderId="0" xfId="324" applyNumberFormat="1" applyFont="1" applyFill="1" applyBorder="1" applyAlignment="1">
      <alignment horizontal="center"/>
    </xf>
    <xf numFmtId="4" fontId="72" fillId="27" borderId="19" xfId="324" applyNumberFormat="1" applyFont="1" applyFill="1" applyBorder="1" applyAlignment="1">
      <alignment horizontal="center"/>
    </xf>
    <xf numFmtId="4" fontId="56" fillId="27" borderId="18" xfId="324" applyNumberFormat="1" applyFont="1" applyFill="1" applyBorder="1" applyAlignment="1">
      <alignment horizontal="center"/>
    </xf>
    <xf numFmtId="4" fontId="56" fillId="27" borderId="11" xfId="324" applyNumberFormat="1" applyFont="1" applyFill="1" applyBorder="1" applyAlignment="1">
      <alignment horizontal="center"/>
    </xf>
    <xf numFmtId="4" fontId="72" fillId="27" borderId="14" xfId="324" applyNumberFormat="1" applyFont="1" applyFill="1" applyBorder="1" applyAlignment="1">
      <alignment horizontal="center"/>
    </xf>
    <xf numFmtId="169" fontId="56" fillId="27" borderId="0" xfId="324" applyNumberFormat="1" applyFont="1" applyFill="1" applyBorder="1" applyAlignment="1">
      <alignment vertical="center"/>
    </xf>
    <xf numFmtId="171" fontId="72" fillId="27" borderId="19" xfId="449" applyNumberFormat="1" applyFont="1" applyFill="1" applyBorder="1" applyAlignment="1">
      <alignment horizontal="center" vertical="center"/>
    </xf>
    <xf numFmtId="171" fontId="72" fillId="27" borderId="13" xfId="449" applyNumberFormat="1" applyFont="1" applyFill="1" applyBorder="1" applyAlignment="1">
      <alignment horizontal="center" vertical="center"/>
    </xf>
    <xf numFmtId="10" fontId="86" fillId="27" borderId="0" xfId="451" applyNumberFormat="1" applyFont="1" applyFill="1" applyBorder="1" applyAlignment="1">
      <alignment horizontal="center"/>
    </xf>
    <xf numFmtId="10" fontId="86" fillId="27" borderId="24" xfId="451" applyNumberFormat="1" applyFont="1" applyFill="1" applyBorder="1" applyAlignment="1">
      <alignment horizontal="center"/>
    </xf>
    <xf numFmtId="10" fontId="86" fillId="27" borderId="11" xfId="451" applyNumberFormat="1" applyFont="1" applyFill="1" applyBorder="1" applyAlignment="1">
      <alignment horizontal="center"/>
    </xf>
    <xf numFmtId="10" fontId="86" fillId="27" borderId="22" xfId="451" applyNumberFormat="1" applyFont="1" applyFill="1" applyBorder="1" applyAlignment="1">
      <alignment horizontal="center"/>
    </xf>
    <xf numFmtId="167" fontId="56" fillId="32" borderId="20" xfId="324" applyNumberFormat="1" applyFont="1" applyFill="1" applyBorder="1" applyAlignment="1">
      <alignment horizontal="center" vertical="center"/>
    </xf>
    <xf numFmtId="167" fontId="56" fillId="32" borderId="0" xfId="324" applyNumberFormat="1" applyFont="1" applyFill="1" applyBorder="1" applyAlignment="1">
      <alignment horizontal="center" vertical="center"/>
    </xf>
    <xf numFmtId="10" fontId="71" fillId="32" borderId="0" xfId="0" applyNumberFormat="1" applyFont="1" applyFill="1" applyBorder="1" applyAlignment="1">
      <alignment horizontal="center" vertical="center"/>
    </xf>
    <xf numFmtId="167" fontId="56" fillId="27" borderId="20" xfId="324" applyNumberFormat="1" applyFont="1" applyFill="1" applyBorder="1" applyAlignment="1">
      <alignment horizontal="center" vertical="center"/>
    </xf>
    <xf numFmtId="10" fontId="71" fillId="27" borderId="0" xfId="0" applyNumberFormat="1" applyFont="1" applyFill="1" applyBorder="1" applyAlignment="1">
      <alignment horizontal="center" vertical="center"/>
    </xf>
    <xf numFmtId="167" fontId="64" fillId="27" borderId="0" xfId="324" applyNumberFormat="1" applyFont="1" applyFill="1" applyBorder="1" applyAlignment="1">
      <alignment horizontal="center" vertical="center"/>
    </xf>
    <xf numFmtId="167" fontId="71" fillId="27" borderId="0" xfId="324" applyNumberFormat="1" applyFont="1" applyFill="1" applyBorder="1" applyAlignment="1">
      <alignment horizontal="center" vertical="center"/>
    </xf>
    <xf numFmtId="10" fontId="71" fillId="27" borderId="24" xfId="0" applyNumberFormat="1" applyFont="1" applyFill="1" applyBorder="1" applyAlignment="1">
      <alignment horizontal="center" vertical="center"/>
    </xf>
    <xf numFmtId="167" fontId="56" fillId="27" borderId="18" xfId="324" applyNumberFormat="1" applyFont="1" applyFill="1" applyBorder="1" applyAlignment="1">
      <alignment horizontal="center" vertical="center"/>
    </xf>
    <xf numFmtId="167" fontId="56" fillId="27" borderId="11" xfId="324" applyNumberFormat="1" applyFont="1" applyFill="1" applyBorder="1" applyAlignment="1">
      <alignment horizontal="center" vertical="center"/>
    </xf>
    <xf numFmtId="10" fontId="71" fillId="27" borderId="11" xfId="0" applyNumberFormat="1" applyFont="1" applyFill="1" applyBorder="1" applyAlignment="1">
      <alignment horizontal="center" vertical="center"/>
    </xf>
    <xf numFmtId="167" fontId="71" fillId="27" borderId="11" xfId="324" applyNumberFormat="1" applyFont="1" applyFill="1" applyBorder="1" applyAlignment="1">
      <alignment horizontal="center" vertical="center"/>
    </xf>
    <xf numFmtId="10" fontId="71" fillId="27" borderId="22" xfId="0" applyNumberFormat="1" applyFont="1" applyFill="1" applyBorder="1" applyAlignment="1">
      <alignment horizontal="center" vertical="center"/>
    </xf>
    <xf numFmtId="49" fontId="55" fillId="27" borderId="13" xfId="0" applyNumberFormat="1" applyFont="1" applyFill="1" applyBorder="1" applyAlignment="1">
      <alignment horizontal="center" vertical="center"/>
    </xf>
    <xf numFmtId="49" fontId="55" fillId="27" borderId="23" xfId="0" applyNumberFormat="1" applyFont="1" applyFill="1" applyBorder="1" applyAlignment="1">
      <alignment horizontal="center" vertical="center" wrapText="1"/>
    </xf>
    <xf numFmtId="49" fontId="55" fillId="27" borderId="16" xfId="0" applyNumberFormat="1" applyFont="1" applyFill="1" applyBorder="1" applyAlignment="1">
      <alignment horizontal="center" vertical="center" wrapText="1"/>
    </xf>
    <xf numFmtId="0" fontId="70" fillId="27" borderId="0" xfId="324" applyNumberFormat="1" applyFont="1" applyFill="1" applyBorder="1" applyAlignment="1">
      <alignment vertical="center"/>
    </xf>
    <xf numFmtId="167" fontId="70" fillId="27" borderId="0" xfId="324" applyNumberFormat="1" applyFont="1" applyFill="1" applyBorder="1" applyAlignment="1">
      <alignment vertical="center"/>
    </xf>
    <xf numFmtId="167" fontId="55" fillId="27" borderId="0" xfId="0" applyNumberFormat="1" applyFont="1" applyFill="1" applyBorder="1" applyAlignment="1">
      <alignment horizontal="center" vertical="center" wrapText="1"/>
    </xf>
    <xf numFmtId="171" fontId="55" fillId="27" borderId="0" xfId="0" applyNumberFormat="1" applyFont="1" applyFill="1" applyBorder="1" applyAlignment="1">
      <alignment vertical="center"/>
    </xf>
    <xf numFmtId="171" fontId="55" fillId="27" borderId="24" xfId="0" applyNumberFormat="1" applyFont="1" applyFill="1" applyBorder="1" applyAlignment="1">
      <alignment vertical="center"/>
    </xf>
    <xf numFmtId="171" fontId="55" fillId="27" borderId="16" xfId="0" applyNumberFormat="1" applyFont="1" applyFill="1" applyBorder="1" applyAlignment="1">
      <alignment horizontal="right" wrapText="1"/>
    </xf>
    <xf numFmtId="171" fontId="85" fillId="27" borderId="12" xfId="552" applyNumberFormat="1" applyFont="1" applyFill="1" applyBorder="1" applyAlignment="1" applyProtection="1"/>
    <xf numFmtId="171" fontId="85" fillId="27" borderId="0" xfId="552" applyNumberFormat="1" applyFont="1" applyFill="1" applyBorder="1" applyAlignment="1" applyProtection="1"/>
    <xf numFmtId="171" fontId="91" fillId="27" borderId="0" xfId="552" applyNumberFormat="1" applyFont="1" applyFill="1" applyAlignment="1">
      <alignment vertical="center"/>
    </xf>
    <xf numFmtId="2" fontId="138" fillId="27" borderId="0" xfId="0" applyNumberFormat="1" applyFont="1" applyFill="1" applyAlignment="1">
      <alignment vertical="center"/>
    </xf>
    <xf numFmtId="2" fontId="122" fillId="27" borderId="0" xfId="0" applyNumberFormat="1" applyFont="1" applyFill="1" applyAlignment="1">
      <alignment vertical="center"/>
    </xf>
    <xf numFmtId="174" fontId="88" fillId="0" borderId="0" xfId="0" applyNumberFormat="1" applyFont="1" applyBorder="1" applyAlignment="1">
      <alignment horizontal="left" vertical="top"/>
    </xf>
    <xf numFmtId="174" fontId="67" fillId="0" borderId="0" xfId="0" applyNumberFormat="1" applyFont="1" applyBorder="1" applyAlignment="1">
      <alignment horizontal="left" vertical="top"/>
    </xf>
    <xf numFmtId="174" fontId="67" fillId="0" borderId="0" xfId="0" applyNumberFormat="1" applyFont="1" applyBorder="1" applyAlignment="1">
      <alignment horizontal="left"/>
    </xf>
    <xf numFmtId="174" fontId="58" fillId="0" borderId="0" xfId="0" applyNumberFormat="1" applyFont="1" applyBorder="1" applyAlignment="1">
      <alignment horizontal="left"/>
    </xf>
    <xf numFmtId="10" fontId="85" fillId="27" borderId="0" xfId="329" applyNumberFormat="1" applyFont="1" applyFill="1" applyBorder="1" applyAlignment="1">
      <alignment horizontal="center"/>
    </xf>
    <xf numFmtId="10" fontId="85" fillId="27" borderId="11" xfId="329" applyNumberFormat="1" applyFont="1" applyFill="1" applyBorder="1" applyAlignment="1">
      <alignment horizontal="center"/>
    </xf>
    <xf numFmtId="171" fontId="58" fillId="0" borderId="0" xfId="552" applyNumberFormat="1" applyFont="1" applyBorder="1" applyAlignment="1">
      <alignment horizontal="right"/>
    </xf>
    <xf numFmtId="174" fontId="75" fillId="0" borderId="0" xfId="0" applyFont="1" applyAlignment="1">
      <alignment horizontal="center" vertical="center"/>
    </xf>
    <xf numFmtId="171" fontId="58" fillId="0" borderId="0" xfId="552" applyNumberFormat="1" applyFont="1" applyAlignment="1">
      <alignment horizontal="right"/>
    </xf>
    <xf numFmtId="182" fontId="58" fillId="0" borderId="0" xfId="0" applyNumberFormat="1" applyFont="1" applyBorder="1" applyAlignment="1">
      <alignment horizontal="left"/>
    </xf>
    <xf numFmtId="10" fontId="58" fillId="0" borderId="0" xfId="552" applyNumberFormat="1" applyFont="1" applyBorder="1" applyAlignment="1">
      <alignment horizontal="right"/>
    </xf>
    <xf numFmtId="10" fontId="58" fillId="0" borderId="0" xfId="552" applyNumberFormat="1" applyFont="1" applyBorder="1" applyAlignment="1">
      <alignment horizontal="left"/>
    </xf>
    <xf numFmtId="192" fontId="58" fillId="0" borderId="0" xfId="0" applyNumberFormat="1" applyFont="1" applyBorder="1" applyAlignment="1">
      <alignment horizontal="left"/>
    </xf>
    <xf numFmtId="189" fontId="58" fillId="0" borderId="0" xfId="0" applyNumberFormat="1" applyFont="1" applyBorder="1" applyAlignment="1">
      <alignment horizontal="left"/>
    </xf>
    <xf numFmtId="180" fontId="58" fillId="0" borderId="0" xfId="0" applyNumberFormat="1" applyFont="1" applyBorder="1" applyAlignment="1">
      <alignment horizontal="left"/>
    </xf>
    <xf numFmtId="9" fontId="75" fillId="0" borderId="0" xfId="552" applyFont="1" applyAlignment="1">
      <alignment horizontal="center" vertical="center"/>
    </xf>
    <xf numFmtId="2" fontId="58" fillId="0" borderId="0" xfId="552" applyNumberFormat="1" applyFont="1" applyBorder="1" applyAlignment="1">
      <alignment horizontal="left"/>
    </xf>
    <xf numFmtId="3" fontId="86" fillId="27" borderId="21" xfId="329" applyNumberFormat="1" applyFont="1" applyFill="1" applyBorder="1" applyAlignment="1">
      <alignment vertical="center"/>
    </xf>
    <xf numFmtId="3" fontId="85" fillId="27" borderId="17" xfId="329" applyNumberFormat="1" applyFont="1" applyFill="1" applyBorder="1" applyAlignment="1">
      <alignment vertical="center"/>
    </xf>
    <xf numFmtId="3" fontId="85" fillId="27" borderId="25" xfId="329" applyNumberFormat="1" applyFont="1" applyFill="1" applyBorder="1" applyAlignment="1">
      <alignment vertical="center"/>
    </xf>
    <xf numFmtId="3" fontId="85" fillId="27" borderId="24" xfId="329" applyNumberFormat="1" applyFont="1" applyFill="1" applyBorder="1" applyAlignment="1">
      <alignment vertical="center"/>
    </xf>
    <xf numFmtId="167" fontId="85" fillId="27" borderId="0" xfId="325" applyNumberFormat="1" applyFont="1" applyFill="1" applyBorder="1" applyAlignment="1">
      <alignment vertical="center"/>
    </xf>
    <xf numFmtId="167" fontId="86" fillId="27" borderId="0" xfId="325" applyNumberFormat="1" applyFont="1" applyFill="1" applyBorder="1" applyAlignment="1">
      <alignment vertical="center"/>
    </xf>
    <xf numFmtId="167" fontId="86" fillId="27" borderId="24" xfId="325" applyNumberFormat="1" applyFont="1" applyFill="1" applyBorder="1" applyAlignment="1">
      <alignment vertical="center"/>
    </xf>
    <xf numFmtId="40" fontId="49" fillId="0" borderId="0" xfId="745" applyNumberFormat="1"/>
    <xf numFmtId="196" fontId="49" fillId="0" borderId="0" xfId="745" applyNumberFormat="1"/>
    <xf numFmtId="43" fontId="49" fillId="0" borderId="0" xfId="745" applyNumberFormat="1"/>
    <xf numFmtId="43" fontId="69" fillId="27" borderId="17" xfId="324" applyFont="1" applyFill="1" applyBorder="1" applyAlignment="1">
      <alignment horizontal="center"/>
    </xf>
    <xf numFmtId="43" fontId="69" fillId="27" borderId="19" xfId="324" applyFont="1" applyFill="1" applyBorder="1" applyAlignment="1">
      <alignment horizontal="center"/>
    </xf>
    <xf numFmtId="43" fontId="69" fillId="27" borderId="14" xfId="324" applyFont="1" applyFill="1" applyBorder="1" applyAlignment="1">
      <alignment horizontal="center"/>
    </xf>
    <xf numFmtId="43" fontId="69" fillId="27" borderId="13" xfId="743" applyNumberFormat="1" applyFont="1" applyFill="1" applyBorder="1" applyAlignment="1">
      <alignment horizontal="center"/>
    </xf>
    <xf numFmtId="174" fontId="0" fillId="0" borderId="0" xfId="443" applyFont="1"/>
    <xf numFmtId="43" fontId="72" fillId="27" borderId="13" xfId="0" applyNumberFormat="1" applyFont="1" applyFill="1" applyBorder="1" applyAlignment="1">
      <alignment horizontal="center" vertical="center" wrapText="1"/>
    </xf>
    <xf numFmtId="190" fontId="72" fillId="27" borderId="19" xfId="337" applyNumberFormat="1" applyFont="1" applyFill="1" applyBorder="1"/>
    <xf numFmtId="43" fontId="56" fillId="27" borderId="19" xfId="337" applyNumberFormat="1" applyFont="1" applyFill="1" applyBorder="1"/>
    <xf numFmtId="190" fontId="72" fillId="27" borderId="13" xfId="337" applyNumberFormat="1" applyFont="1" applyFill="1" applyBorder="1"/>
    <xf numFmtId="43" fontId="65" fillId="27" borderId="19" xfId="0" applyNumberFormat="1" applyFont="1" applyFill="1" applyBorder="1" applyAlignment="1">
      <alignment horizontal="left" vertical="center"/>
    </xf>
    <xf numFmtId="43" fontId="84" fillId="27" borderId="0" xfId="0" applyNumberFormat="1" applyFont="1" applyFill="1" applyBorder="1" applyAlignment="1">
      <alignment horizontal="left" vertical="center"/>
    </xf>
    <xf numFmtId="43" fontId="84" fillId="37" borderId="0" xfId="0" applyNumberFormat="1" applyFont="1" applyFill="1" applyBorder="1" applyAlignment="1">
      <alignment horizontal="right" vertical="center"/>
    </xf>
    <xf numFmtId="43" fontId="84" fillId="37" borderId="24" xfId="0" applyNumberFormat="1" applyFont="1" applyFill="1" applyBorder="1" applyAlignment="1">
      <alignment horizontal="right" vertical="center"/>
    </xf>
    <xf numFmtId="43" fontId="84" fillId="27" borderId="0" xfId="0" applyNumberFormat="1" applyFont="1" applyFill="1" applyBorder="1" applyAlignment="1">
      <alignment horizontal="right" vertical="center"/>
    </xf>
    <xf numFmtId="43" fontId="84" fillId="33" borderId="0" xfId="0" applyNumberFormat="1" applyFont="1" applyFill="1" applyBorder="1" applyAlignment="1">
      <alignment horizontal="right" vertical="center"/>
    </xf>
    <xf numFmtId="43" fontId="84" fillId="33" borderId="0" xfId="0" applyNumberFormat="1" applyFont="1" applyFill="1" applyBorder="1" applyAlignment="1">
      <alignment horizontal="left" vertical="center"/>
    </xf>
    <xf numFmtId="43" fontId="84" fillId="33" borderId="24" xfId="0" applyNumberFormat="1" applyFont="1" applyFill="1" applyBorder="1" applyAlignment="1">
      <alignment horizontal="right" vertical="center"/>
    </xf>
    <xf numFmtId="43" fontId="85" fillId="27" borderId="13" xfId="0" applyNumberFormat="1" applyFont="1" applyFill="1" applyBorder="1" applyAlignment="1">
      <alignment horizontal="center" vertical="center"/>
    </xf>
    <xf numFmtId="43" fontId="85" fillId="27" borderId="23" xfId="0" applyNumberFormat="1" applyFont="1" applyFill="1" applyBorder="1" applyAlignment="1">
      <alignment horizontal="center" vertical="center" wrapText="1"/>
    </xf>
    <xf numFmtId="0" fontId="85" fillId="27" borderId="19" xfId="0" applyNumberFormat="1" applyFont="1" applyFill="1" applyBorder="1" applyAlignment="1">
      <alignment horizontal="center" vertical="center"/>
    </xf>
    <xf numFmtId="40" fontId="86" fillId="27" borderId="0" xfId="336" applyNumberFormat="1" applyFont="1" applyFill="1" applyBorder="1" applyAlignment="1">
      <alignment vertical="center"/>
    </xf>
    <xf numFmtId="40" fontId="86" fillId="27" borderId="0" xfId="0" applyNumberFormat="1" applyFont="1" applyFill="1" applyBorder="1" applyAlignment="1">
      <alignment vertical="center"/>
    </xf>
    <xf numFmtId="43" fontId="85" fillId="27" borderId="15" xfId="0" applyNumberFormat="1" applyFont="1" applyFill="1" applyBorder="1" applyAlignment="1">
      <alignment vertical="center"/>
    </xf>
    <xf numFmtId="43" fontId="85" fillId="27" borderId="23" xfId="0" applyNumberFormat="1" applyFont="1" applyFill="1" applyBorder="1" applyAlignment="1">
      <alignment vertical="center"/>
    </xf>
    <xf numFmtId="43" fontId="54" fillId="0" borderId="0" xfId="0" applyNumberFormat="1" applyFont="1" applyFill="1" applyBorder="1" applyAlignment="1">
      <alignment vertical="center"/>
    </xf>
    <xf numFmtId="198" fontId="0" fillId="0" borderId="0" xfId="552" applyNumberFormat="1" applyFont="1"/>
    <xf numFmtId="171" fontId="0" fillId="0" borderId="0" xfId="552" applyNumberFormat="1" applyFont="1" applyFill="1" applyBorder="1" applyAlignment="1">
      <alignment vertical="center"/>
    </xf>
    <xf numFmtId="171" fontId="49" fillId="0" borderId="0" xfId="552" applyNumberFormat="1" applyFont="1"/>
    <xf numFmtId="10" fontId="58" fillId="27" borderId="0" xfId="324" applyNumberFormat="1" applyFont="1" applyFill="1" applyBorder="1"/>
    <xf numFmtId="174" fontId="73" fillId="27" borderId="0" xfId="0" applyFont="1" applyFill="1" applyBorder="1"/>
    <xf numFmtId="43" fontId="64" fillId="27" borderId="0" xfId="0" applyNumberFormat="1" applyFont="1" applyFill="1" applyBorder="1"/>
    <xf numFmtId="174" fontId="56" fillId="27" borderId="0" xfId="0" applyFont="1" applyFill="1" applyBorder="1"/>
    <xf numFmtId="189" fontId="56" fillId="27" borderId="0" xfId="0" applyNumberFormat="1" applyFont="1" applyFill="1" applyBorder="1"/>
    <xf numFmtId="43" fontId="56" fillId="27" borderId="0" xfId="0" applyNumberFormat="1" applyFont="1" applyFill="1" applyBorder="1"/>
    <xf numFmtId="10" fontId="66" fillId="0" borderId="0" xfId="552" applyNumberFormat="1" applyFont="1" applyFill="1" applyBorder="1" applyAlignment="1">
      <alignment horizontal="left" indent="1"/>
    </xf>
    <xf numFmtId="10" fontId="66" fillId="0" borderId="0" xfId="552" applyNumberFormat="1" applyFont="1"/>
    <xf numFmtId="167" fontId="71" fillId="27" borderId="19" xfId="0" applyNumberFormat="1" applyFont="1" applyFill="1" applyBorder="1" applyAlignment="1">
      <alignment horizontal="center" wrapText="1"/>
    </xf>
    <xf numFmtId="167" fontId="71" fillId="27" borderId="13" xfId="0" applyNumberFormat="1" applyFont="1" applyFill="1" applyBorder="1" applyAlignment="1">
      <alignment horizontal="center" wrapText="1"/>
    </xf>
    <xf numFmtId="10" fontId="71" fillId="27" borderId="0" xfId="0" applyNumberFormat="1" applyFont="1" applyFill="1" applyBorder="1" applyAlignment="1">
      <alignment horizontal="center"/>
    </xf>
    <xf numFmtId="10" fontId="71" fillId="27" borderId="24" xfId="0" applyNumberFormat="1" applyFont="1" applyFill="1" applyBorder="1" applyAlignment="1">
      <alignment horizontal="center"/>
    </xf>
    <xf numFmtId="10" fontId="71" fillId="27" borderId="23" xfId="0" applyNumberFormat="1" applyFont="1" applyFill="1" applyBorder="1" applyAlignment="1">
      <alignment horizontal="center"/>
    </xf>
    <xf numFmtId="10" fontId="71" fillId="27" borderId="16" xfId="0" applyNumberFormat="1" applyFont="1" applyFill="1" applyBorder="1" applyAlignment="1">
      <alignment horizontal="center"/>
    </xf>
    <xf numFmtId="167" fontId="72" fillId="27" borderId="19" xfId="324" applyNumberFormat="1" applyFont="1" applyFill="1" applyBorder="1"/>
    <xf numFmtId="167" fontId="72" fillId="27" borderId="13" xfId="324" applyNumberFormat="1" applyFont="1" applyFill="1" applyBorder="1"/>
    <xf numFmtId="167" fontId="72" fillId="27" borderId="13" xfId="0" applyNumberFormat="1" applyFont="1" applyFill="1" applyBorder="1" applyAlignment="1">
      <alignment horizontal="center" vertical="center" wrapText="1"/>
    </xf>
    <xf numFmtId="167" fontId="67" fillId="27" borderId="17" xfId="324" applyNumberFormat="1" applyFont="1" applyFill="1" applyBorder="1" applyAlignment="1">
      <alignment vertical="center"/>
    </xf>
    <xf numFmtId="167" fontId="67" fillId="27" borderId="19" xfId="324" applyNumberFormat="1" applyFont="1" applyFill="1" applyBorder="1" applyAlignment="1">
      <alignment vertical="center"/>
    </xf>
    <xf numFmtId="174" fontId="89" fillId="0" borderId="0" xfId="0" applyFont="1" applyFill="1" applyBorder="1" applyAlignment="1">
      <alignment horizontal="center" vertical="center" wrapText="1"/>
    </xf>
    <xf numFmtId="43" fontId="56" fillId="37" borderId="0" xfId="329" applyFont="1" applyFill="1" applyBorder="1" applyAlignment="1">
      <alignment vertical="center"/>
    </xf>
    <xf numFmtId="174" fontId="0" fillId="0" borderId="0" xfId="0" applyAlignment="1">
      <alignment horizontal="center"/>
    </xf>
    <xf numFmtId="167" fontId="132" fillId="27" borderId="0" xfId="395" applyNumberFormat="1" applyFont="1" applyFill="1" applyBorder="1" applyAlignment="1">
      <alignment horizontal="center"/>
    </xf>
    <xf numFmtId="167" fontId="133" fillId="27" borderId="0" xfId="324" applyNumberFormat="1" applyFont="1" applyFill="1" applyBorder="1" applyAlignment="1">
      <alignment horizontal="center"/>
    </xf>
    <xf numFmtId="2" fontId="133" fillId="27" borderId="24" xfId="395" applyNumberFormat="1" applyFont="1" applyFill="1" applyBorder="1" applyAlignment="1">
      <alignment horizontal="center"/>
    </xf>
    <xf numFmtId="41" fontId="86" fillId="27" borderId="20" xfId="348" applyNumberFormat="1" applyFont="1" applyFill="1" applyBorder="1" applyAlignment="1">
      <alignment horizontal="right"/>
    </xf>
    <xf numFmtId="41" fontId="86" fillId="27" borderId="18" xfId="348" applyNumberFormat="1" applyFont="1" applyFill="1" applyBorder="1" applyAlignment="1">
      <alignment horizontal="right"/>
    </xf>
    <xf numFmtId="174" fontId="85" fillId="0" borderId="13" xfId="348" applyFont="1" applyFill="1" applyBorder="1" applyAlignment="1">
      <alignment horizontal="center" vertical="center" wrapText="1"/>
    </xf>
    <xf numFmtId="10" fontId="85" fillId="27" borderId="19" xfId="325" applyNumberFormat="1" applyFont="1" applyFill="1" applyBorder="1" applyAlignment="1">
      <alignment horizontal="right"/>
    </xf>
    <xf numFmtId="10" fontId="85" fillId="27" borderId="14" xfId="325" applyNumberFormat="1" applyFont="1" applyFill="1" applyBorder="1" applyAlignment="1">
      <alignment horizontal="right"/>
    </xf>
    <xf numFmtId="43" fontId="84" fillId="33" borderId="0" xfId="324" applyFont="1" applyFill="1" applyBorder="1"/>
    <xf numFmtId="49" fontId="71" fillId="32" borderId="20" xfId="0" applyNumberFormat="1" applyFont="1" applyFill="1" applyBorder="1" applyAlignment="1">
      <alignment horizontal="center" vertical="center" wrapText="1"/>
    </xf>
    <xf numFmtId="167" fontId="64" fillId="27" borderId="20" xfId="324" applyNumberFormat="1" applyFont="1" applyFill="1" applyBorder="1" applyAlignment="1">
      <alignment horizontal="center" vertical="center"/>
    </xf>
    <xf numFmtId="49" fontId="85" fillId="27" borderId="23" xfId="0" applyNumberFormat="1" applyFont="1" applyFill="1" applyBorder="1" applyAlignment="1">
      <alignment horizontal="center" vertical="center" wrapText="1"/>
    </xf>
    <xf numFmtId="49" fontId="55" fillId="27" borderId="13" xfId="0" applyNumberFormat="1" applyFont="1" applyFill="1" applyBorder="1" applyAlignment="1">
      <alignment horizontal="center" vertical="center" wrapText="1"/>
    </xf>
    <xf numFmtId="167" fontId="55" fillId="27" borderId="23" xfId="0" applyNumberFormat="1" applyFont="1" applyFill="1" applyBorder="1" applyAlignment="1">
      <alignment horizontal="right" wrapText="1"/>
    </xf>
    <xf numFmtId="171" fontId="55" fillId="27" borderId="23" xfId="0" applyNumberFormat="1" applyFont="1" applyFill="1" applyBorder="1" applyAlignment="1">
      <alignment horizontal="right" wrapText="1"/>
    </xf>
    <xf numFmtId="0" fontId="88" fillId="27" borderId="13" xfId="438" applyFont="1" applyFill="1" applyBorder="1" applyAlignment="1">
      <alignment horizontal="left" vertical="center" wrapText="1"/>
    </xf>
    <xf numFmtId="167" fontId="88" fillId="27" borderId="15" xfId="324" applyNumberFormat="1" applyFont="1" applyFill="1" applyBorder="1" applyAlignment="1">
      <alignment horizontal="center" vertical="center" wrapText="1"/>
    </xf>
    <xf numFmtId="167" fontId="88" fillId="27" borderId="23" xfId="324" applyNumberFormat="1" applyFont="1" applyFill="1" applyBorder="1" applyAlignment="1">
      <alignment horizontal="center" vertical="center" wrapText="1"/>
    </xf>
    <xf numFmtId="167" fontId="88" fillId="27" borderId="13" xfId="324" applyNumberFormat="1" applyFont="1" applyFill="1" applyBorder="1" applyAlignment="1">
      <alignment horizontal="center" vertical="center" wrapText="1"/>
    </xf>
    <xf numFmtId="174" fontId="85" fillId="27" borderId="15" xfId="0" applyNumberFormat="1" applyFont="1" applyFill="1" applyBorder="1" applyAlignment="1">
      <alignment horizontal="center" vertical="center"/>
    </xf>
    <xf numFmtId="3" fontId="56" fillId="27" borderId="18" xfId="0" applyNumberFormat="1" applyFont="1" applyFill="1" applyBorder="1" applyAlignment="1" applyProtection="1">
      <alignment horizontal="center"/>
    </xf>
    <xf numFmtId="3" fontId="56" fillId="27" borderId="11" xfId="0" applyNumberFormat="1" applyFont="1" applyFill="1" applyBorder="1" applyAlignment="1" applyProtection="1">
      <alignment horizontal="center"/>
    </xf>
    <xf numFmtId="3" fontId="72" fillId="27" borderId="14" xfId="0" applyNumberFormat="1" applyFont="1" applyFill="1" applyBorder="1" applyAlignment="1" applyProtection="1">
      <alignment horizontal="center"/>
    </xf>
    <xf numFmtId="3" fontId="58" fillId="27" borderId="11" xfId="0" applyNumberFormat="1" applyFont="1" applyFill="1" applyBorder="1" applyAlignment="1" applyProtection="1">
      <alignment horizontal="center"/>
    </xf>
    <xf numFmtId="175" fontId="72" fillId="27" borderId="22" xfId="0" applyNumberFormat="1" applyFont="1" applyFill="1" applyBorder="1" applyAlignment="1" applyProtection="1">
      <alignment horizontal="center"/>
    </xf>
    <xf numFmtId="3" fontId="86" fillId="27" borderId="21" xfId="0" applyNumberFormat="1" applyFont="1" applyFill="1" applyBorder="1" applyAlignment="1" applyProtection="1"/>
    <xf numFmtId="3" fontId="86" fillId="27" borderId="20" xfId="0" applyNumberFormat="1" applyFont="1" applyFill="1" applyBorder="1" applyAlignment="1" applyProtection="1"/>
    <xf numFmtId="49" fontId="85" fillId="27" borderId="19" xfId="0" applyNumberFormat="1" applyFont="1" applyFill="1" applyBorder="1" applyAlignment="1" applyProtection="1">
      <alignment horizontal="center" vertical="center"/>
    </xf>
    <xf numFmtId="49" fontId="85" fillId="27" borderId="14" xfId="0" applyNumberFormat="1" applyFont="1" applyFill="1" applyBorder="1" applyAlignment="1" applyProtection="1">
      <alignment horizontal="center" vertical="center"/>
    </xf>
    <xf numFmtId="167" fontId="67" fillId="27" borderId="0" xfId="0" applyNumberFormat="1" applyFont="1" applyFill="1" applyBorder="1" applyAlignment="1" applyProtection="1">
      <alignment horizontal="center" vertical="center"/>
    </xf>
    <xf numFmtId="174" fontId="77" fillId="27" borderId="0" xfId="0" applyFont="1" applyFill="1" applyBorder="1"/>
    <xf numFmtId="171" fontId="76" fillId="27" borderId="0" xfId="0" applyNumberFormat="1" applyFont="1" applyFill="1" applyBorder="1" applyAlignment="1">
      <alignment horizontal="center"/>
    </xf>
    <xf numFmtId="38" fontId="77" fillId="27" borderId="18" xfId="0" applyNumberFormat="1" applyFont="1" applyFill="1" applyBorder="1" applyAlignment="1">
      <alignment horizontal="center" vertical="center"/>
    </xf>
    <xf numFmtId="38" fontId="76" fillId="27" borderId="22" xfId="0" applyNumberFormat="1" applyFont="1" applyFill="1" applyBorder="1" applyAlignment="1">
      <alignment horizontal="center" vertical="center"/>
    </xf>
    <xf numFmtId="3" fontId="77" fillId="27" borderId="18" xfId="329" applyNumberFormat="1" applyFont="1" applyFill="1" applyBorder="1" applyAlignment="1"/>
    <xf numFmtId="3" fontId="77" fillId="27" borderId="11" xfId="329" applyNumberFormat="1" applyFont="1" applyFill="1" applyBorder="1" applyAlignment="1"/>
    <xf numFmtId="3" fontId="77" fillId="27" borderId="22" xfId="329" applyNumberFormat="1" applyFont="1" applyFill="1" applyBorder="1" applyAlignment="1"/>
    <xf numFmtId="3" fontId="86" fillId="27" borderId="11" xfId="329" applyNumberFormat="1" applyFont="1" applyFill="1" applyBorder="1" applyAlignment="1">
      <alignment horizontal="center"/>
    </xf>
    <xf numFmtId="3" fontId="85" fillId="27" borderId="11" xfId="329" applyNumberFormat="1" applyFont="1" applyFill="1" applyBorder="1" applyAlignment="1">
      <alignment horizontal="center"/>
    </xf>
    <xf numFmtId="3" fontId="86" fillId="27" borderId="18" xfId="329" applyNumberFormat="1" applyFont="1" applyFill="1" applyBorder="1" applyAlignment="1">
      <alignment horizontal="right" vertical="center"/>
    </xf>
    <xf numFmtId="3" fontId="85" fillId="27" borderId="20" xfId="329" applyNumberFormat="1" applyFont="1" applyFill="1" applyBorder="1" applyAlignment="1">
      <alignment horizontal="right"/>
    </xf>
    <xf numFmtId="3" fontId="85" fillId="27" borderId="18" xfId="329" applyNumberFormat="1" applyFont="1" applyFill="1" applyBorder="1" applyAlignment="1">
      <alignment horizontal="right"/>
    </xf>
    <xf numFmtId="3" fontId="86" fillId="27" borderId="18" xfId="329" applyNumberFormat="1" applyFont="1" applyFill="1" applyBorder="1" applyAlignment="1">
      <alignment vertical="center"/>
    </xf>
    <xf numFmtId="3" fontId="85" fillId="27" borderId="14" xfId="329" applyNumberFormat="1" applyFont="1" applyFill="1" applyBorder="1" applyAlignment="1">
      <alignment vertical="center"/>
    </xf>
    <xf numFmtId="3" fontId="85" fillId="27" borderId="22" xfId="329" applyNumberFormat="1" applyFont="1" applyFill="1" applyBorder="1" applyAlignment="1">
      <alignment vertical="center"/>
    </xf>
    <xf numFmtId="198" fontId="58" fillId="0" borderId="0" xfId="552" applyNumberFormat="1" applyFont="1" applyBorder="1" applyAlignment="1">
      <alignment horizontal="left"/>
    </xf>
    <xf numFmtId="167" fontId="56" fillId="27" borderId="18" xfId="395" applyNumberFormat="1" applyFont="1" applyFill="1" applyBorder="1" applyAlignment="1">
      <alignment horizontal="right"/>
    </xf>
    <xf numFmtId="167" fontId="56" fillId="27" borderId="11" xfId="395" applyNumberFormat="1" applyFont="1" applyFill="1" applyBorder="1" applyAlignment="1">
      <alignment horizontal="right"/>
    </xf>
    <xf numFmtId="167" fontId="72" fillId="27" borderId="11" xfId="395" applyNumberFormat="1" applyFont="1" applyFill="1" applyBorder="1" applyAlignment="1">
      <alignment horizontal="right"/>
    </xf>
    <xf numFmtId="167" fontId="132" fillId="27" borderId="11" xfId="395" applyNumberFormat="1" applyFont="1" applyFill="1" applyBorder="1" applyAlignment="1">
      <alignment horizontal="center"/>
    </xf>
    <xf numFmtId="167" fontId="133" fillId="27" borderId="11" xfId="324" applyNumberFormat="1" applyFont="1" applyFill="1" applyBorder="1" applyAlignment="1">
      <alignment horizontal="center"/>
    </xf>
    <xf numFmtId="2" fontId="133" fillId="27" borderId="22" xfId="395" applyNumberFormat="1" applyFont="1" applyFill="1" applyBorder="1" applyAlignment="1">
      <alignment horizontal="center"/>
    </xf>
    <xf numFmtId="167" fontId="86" fillId="27" borderId="18" xfId="395" applyNumberFormat="1" applyFont="1" applyFill="1" applyBorder="1" applyAlignment="1">
      <alignment horizontal="center" vertical="center"/>
    </xf>
    <xf numFmtId="167" fontId="85" fillId="27" borderId="11" xfId="325" applyNumberFormat="1" applyFont="1" applyFill="1" applyBorder="1" applyAlignment="1">
      <alignment vertical="center"/>
    </xf>
    <xf numFmtId="167" fontId="86" fillId="27" borderId="11" xfId="325" applyNumberFormat="1" applyFont="1" applyFill="1" applyBorder="1" applyAlignment="1">
      <alignment vertical="center"/>
    </xf>
    <xf numFmtId="167" fontId="86" fillId="27" borderId="22" xfId="325" applyNumberFormat="1" applyFont="1" applyFill="1" applyBorder="1" applyAlignment="1">
      <alignment vertical="center"/>
    </xf>
    <xf numFmtId="17" fontId="85" fillId="0" borderId="13" xfId="337" applyNumberFormat="1" applyFont="1" applyFill="1" applyBorder="1" applyAlignment="1">
      <alignment horizontal="left" vertical="center"/>
    </xf>
    <xf numFmtId="3" fontId="85" fillId="0" borderId="23" xfId="329" applyNumberFormat="1" applyFont="1" applyFill="1" applyBorder="1" applyAlignment="1">
      <alignment horizontal="center" vertical="center"/>
    </xf>
    <xf numFmtId="3" fontId="85" fillId="0" borderId="15" xfId="329" applyNumberFormat="1" applyFont="1" applyFill="1" applyBorder="1" applyAlignment="1">
      <alignment horizontal="center" vertical="center"/>
    </xf>
    <xf numFmtId="171" fontId="85" fillId="0" borderId="16" xfId="0" applyNumberFormat="1" applyFont="1" applyBorder="1"/>
    <xf numFmtId="174" fontId="86" fillId="0" borderId="0" xfId="0" applyFont="1"/>
    <xf numFmtId="38" fontId="70" fillId="27" borderId="11" xfId="0" applyNumberFormat="1" applyFont="1" applyFill="1" applyBorder="1"/>
    <xf numFmtId="3" fontId="86" fillId="27" borderId="11" xfId="0" applyNumberFormat="1" applyFont="1" applyFill="1" applyBorder="1" applyAlignment="1" applyProtection="1">
      <alignment horizontal="center"/>
    </xf>
    <xf numFmtId="0" fontId="69" fillId="27" borderId="13" xfId="743" applyFont="1" applyFill="1" applyBorder="1" applyAlignment="1">
      <alignment horizontal="center" vertical="center"/>
    </xf>
    <xf numFmtId="0" fontId="69" fillId="27" borderId="23" xfId="743" applyFont="1" applyFill="1" applyBorder="1" applyAlignment="1">
      <alignment horizontal="center" vertical="center"/>
    </xf>
    <xf numFmtId="0" fontId="49" fillId="0" borderId="0" xfId="743" applyAlignment="1">
      <alignment vertical="center"/>
    </xf>
    <xf numFmtId="43" fontId="85" fillId="27" borderId="0" xfId="0" applyNumberFormat="1" applyFont="1" applyFill="1" applyBorder="1" applyAlignment="1">
      <alignment vertical="center"/>
    </xf>
    <xf numFmtId="40" fontId="56" fillId="27" borderId="0" xfId="324" applyNumberFormat="1" applyFont="1" applyFill="1" applyBorder="1" applyAlignment="1">
      <alignment horizontal="right" vertical="center"/>
    </xf>
    <xf numFmtId="40" fontId="56" fillId="27" borderId="0" xfId="324" applyNumberFormat="1" applyFont="1" applyFill="1" applyBorder="1" applyAlignment="1">
      <alignment horizontal="right" vertical="center" wrapText="1"/>
    </xf>
    <xf numFmtId="43" fontId="85" fillId="27" borderId="13" xfId="0" applyNumberFormat="1" applyFont="1" applyFill="1" applyBorder="1" applyAlignment="1">
      <alignment horizontal="center" vertical="center" wrapText="1"/>
    </xf>
    <xf numFmtId="40" fontId="85" fillId="27" borderId="19" xfId="0" applyNumberFormat="1" applyFont="1" applyFill="1" applyBorder="1" applyAlignment="1">
      <alignment vertical="center"/>
    </xf>
    <xf numFmtId="40" fontId="85" fillId="27" borderId="13" xfId="0" applyNumberFormat="1" applyFont="1" applyFill="1" applyBorder="1" applyAlignment="1">
      <alignment vertical="center"/>
    </xf>
    <xf numFmtId="174" fontId="60" fillId="0" borderId="0" xfId="0" applyFont="1"/>
    <xf numFmtId="182" fontId="59" fillId="0" borderId="0" xfId="1095" applyNumberFormat="1" applyFont="1" applyFill="1" applyBorder="1" applyAlignment="1">
      <alignment horizontal="center" vertical="top"/>
    </xf>
    <xf numFmtId="175" fontId="67" fillId="27" borderId="24" xfId="0" applyNumberFormat="1" applyFont="1" applyFill="1" applyBorder="1" applyAlignment="1">
      <alignment horizontal="right"/>
    </xf>
    <xf numFmtId="182" fontId="76" fillId="0" borderId="12" xfId="1095" applyNumberFormat="1" applyFont="1" applyFill="1" applyBorder="1" applyAlignment="1">
      <alignment horizontal="center" vertical="center" wrapText="1"/>
    </xf>
    <xf numFmtId="182" fontId="88" fillId="0" borderId="25" xfId="1095" applyNumberFormat="1" applyFont="1" applyFill="1" applyBorder="1" applyAlignment="1">
      <alignment horizontal="center" vertical="center" wrapText="1"/>
    </xf>
    <xf numFmtId="175" fontId="67" fillId="27" borderId="0" xfId="0" applyNumberFormat="1" applyFont="1" applyFill="1" applyBorder="1" applyAlignment="1">
      <alignment horizontal="right"/>
    </xf>
    <xf numFmtId="175" fontId="67" fillId="27" borderId="25" xfId="0" applyNumberFormat="1" applyFont="1" applyFill="1" applyBorder="1" applyAlignment="1">
      <alignment horizontal="right"/>
    </xf>
    <xf numFmtId="175" fontId="67" fillId="27" borderId="22" xfId="0" applyNumberFormat="1" applyFont="1" applyFill="1" applyBorder="1" applyAlignment="1">
      <alignment horizontal="right"/>
    </xf>
    <xf numFmtId="17" fontId="76" fillId="0" borderId="21" xfId="394" applyNumberFormat="1" applyFont="1" applyFill="1" applyBorder="1" applyAlignment="1">
      <alignment horizontal="left" vertical="center"/>
    </xf>
    <xf numFmtId="17" fontId="76" fillId="0" borderId="20" xfId="394" applyNumberFormat="1" applyFont="1" applyFill="1" applyBorder="1" applyAlignment="1">
      <alignment horizontal="left" vertical="center"/>
    </xf>
    <xf numFmtId="17" fontId="76" fillId="0" borderId="18" xfId="394" applyNumberFormat="1" applyFont="1" applyFill="1" applyBorder="1" applyAlignment="1">
      <alignment horizontal="left" vertical="center"/>
    </xf>
    <xf numFmtId="0" fontId="69" fillId="0" borderId="0" xfId="0" applyNumberFormat="1" applyFont="1" applyFill="1" applyBorder="1" applyAlignment="1">
      <alignment horizontal="left" vertical="center" indent="1"/>
    </xf>
    <xf numFmtId="0" fontId="65" fillId="27" borderId="23" xfId="0" applyNumberFormat="1" applyFont="1" applyFill="1" applyBorder="1" applyAlignment="1">
      <alignment horizontal="left" vertical="center" indent="1"/>
    </xf>
    <xf numFmtId="41" fontId="65" fillId="27" borderId="13" xfId="0" applyNumberFormat="1" applyFont="1" applyFill="1" applyBorder="1" applyAlignment="1">
      <alignment horizontal="left" vertical="center" indent="1"/>
    </xf>
    <xf numFmtId="41" fontId="84" fillId="27" borderId="0" xfId="0" applyNumberFormat="1" applyFont="1" applyFill="1" applyBorder="1" applyAlignment="1">
      <alignment horizontal="left" vertical="center" indent="1"/>
    </xf>
    <xf numFmtId="41" fontId="65" fillId="27" borderId="19" xfId="0" applyNumberFormat="1" applyFont="1" applyFill="1" applyBorder="1" applyAlignment="1">
      <alignment horizontal="left" vertical="center" indent="1"/>
    </xf>
    <xf numFmtId="41" fontId="65" fillId="27" borderId="23" xfId="0" applyNumberFormat="1" applyFont="1" applyFill="1" applyBorder="1" applyAlignment="1">
      <alignment horizontal="left" vertical="center" indent="1"/>
    </xf>
    <xf numFmtId="174" fontId="58" fillId="27" borderId="0" xfId="0" applyFont="1" applyFill="1" applyBorder="1" applyAlignment="1">
      <alignment horizontal="left" indent="1"/>
    </xf>
    <xf numFmtId="174" fontId="0" fillId="0" borderId="0" xfId="0" applyAlignment="1">
      <alignment horizontal="left" indent="1"/>
    </xf>
    <xf numFmtId="43" fontId="56" fillId="27" borderId="0" xfId="324" applyNumberFormat="1" applyFont="1" applyFill="1" applyBorder="1"/>
    <xf numFmtId="10" fontId="56" fillId="27" borderId="0" xfId="552" applyNumberFormat="1" applyFont="1" applyFill="1" applyBorder="1"/>
    <xf numFmtId="174" fontId="74" fillId="0" borderId="0" xfId="0" applyFont="1" applyFill="1" applyBorder="1" applyAlignment="1">
      <alignment horizontal="center" vertical="center" wrapText="1"/>
    </xf>
    <xf numFmtId="174" fontId="85" fillId="27" borderId="0" xfId="0" applyFont="1" applyFill="1" applyBorder="1" applyAlignment="1">
      <alignment horizontal="center" vertical="center" wrapText="1"/>
    </xf>
    <xf numFmtId="174" fontId="0" fillId="0" borderId="0" xfId="0" applyAlignment="1">
      <alignment horizontal="center"/>
    </xf>
    <xf numFmtId="171" fontId="72" fillId="27" borderId="21" xfId="395" applyNumberFormat="1" applyFont="1" applyFill="1" applyBorder="1" applyAlignment="1">
      <alignment horizontal="right"/>
    </xf>
    <xf numFmtId="171" fontId="72" fillId="27" borderId="12" xfId="395" applyNumberFormat="1" applyFont="1" applyFill="1" applyBorder="1" applyAlignment="1">
      <alignment horizontal="right"/>
    </xf>
    <xf numFmtId="43" fontId="72" fillId="27" borderId="25" xfId="395" applyNumberFormat="1" applyFont="1" applyFill="1" applyBorder="1" applyAlignment="1">
      <alignment horizontal="right"/>
    </xf>
    <xf numFmtId="171" fontId="72" fillId="27" borderId="20" xfId="395" applyNumberFormat="1" applyFont="1" applyFill="1" applyBorder="1" applyAlignment="1">
      <alignment horizontal="right"/>
    </xf>
    <xf numFmtId="171" fontId="72" fillId="27" borderId="0" xfId="395" applyNumberFormat="1" applyFont="1" applyFill="1" applyBorder="1" applyAlignment="1">
      <alignment horizontal="right"/>
    </xf>
    <xf numFmtId="43" fontId="72" fillId="27" borderId="24" xfId="395" applyNumberFormat="1" applyFont="1" applyFill="1" applyBorder="1" applyAlignment="1">
      <alignment horizontal="right"/>
    </xf>
    <xf numFmtId="171" fontId="72" fillId="27" borderId="0" xfId="0" applyNumberFormat="1" applyFont="1" applyFill="1" applyBorder="1" applyAlignment="1">
      <alignment horizontal="right"/>
    </xf>
    <xf numFmtId="171" fontId="72" fillId="27" borderId="18" xfId="395" applyNumberFormat="1" applyFont="1" applyFill="1" applyBorder="1" applyAlignment="1">
      <alignment horizontal="right"/>
    </xf>
    <xf numFmtId="171" fontId="72" fillId="27" borderId="11" xfId="0" applyNumberFormat="1" applyFont="1" applyFill="1" applyBorder="1" applyAlignment="1">
      <alignment horizontal="right"/>
    </xf>
    <xf numFmtId="43" fontId="72" fillId="27" borderId="22" xfId="395" applyNumberFormat="1" applyFont="1" applyFill="1" applyBorder="1" applyAlignment="1">
      <alignment horizontal="right"/>
    </xf>
    <xf numFmtId="10" fontId="0" fillId="0" borderId="0" xfId="0" applyNumberFormat="1" applyAlignment="1">
      <alignment horizontal="center"/>
    </xf>
    <xf numFmtId="177" fontId="0" fillId="0" borderId="0" xfId="552" applyNumberFormat="1" applyFont="1"/>
    <xf numFmtId="174" fontId="72" fillId="27" borderId="13" xfId="348" applyNumberFormat="1" applyFont="1" applyFill="1" applyBorder="1" applyAlignment="1">
      <alignment horizontal="center" vertical="center"/>
    </xf>
    <xf numFmtId="174" fontId="72" fillId="27" borderId="23" xfId="348" applyFont="1" applyFill="1" applyBorder="1" applyAlignment="1">
      <alignment horizontal="center" vertical="center" wrapText="1"/>
    </xf>
    <xf numFmtId="174" fontId="72" fillId="27" borderId="16" xfId="348" applyFont="1" applyFill="1" applyBorder="1" applyAlignment="1">
      <alignment horizontal="center" vertical="center" wrapText="1"/>
    </xf>
    <xf numFmtId="174" fontId="64" fillId="0" borderId="0" xfId="0" applyFont="1" applyFill="1" applyBorder="1"/>
    <xf numFmtId="174" fontId="64" fillId="0" borderId="0" xfId="0" applyFont="1" applyBorder="1"/>
    <xf numFmtId="49" fontId="72" fillId="27" borderId="19" xfId="395" applyNumberFormat="1" applyFont="1" applyFill="1" applyBorder="1" applyAlignment="1">
      <alignment horizontal="center" vertical="center"/>
    </xf>
    <xf numFmtId="167" fontId="72" fillId="27" borderId="0" xfId="325" applyNumberFormat="1" applyFont="1" applyFill="1" applyBorder="1" applyAlignment="1">
      <alignment horizontal="center" vertical="center"/>
    </xf>
    <xf numFmtId="167" fontId="56" fillId="27" borderId="0" xfId="325" applyNumberFormat="1" applyFont="1" applyFill="1" applyBorder="1" applyAlignment="1">
      <alignment horizontal="center" vertical="center"/>
    </xf>
    <xf numFmtId="167" fontId="56" fillId="27" borderId="24" xfId="325" applyNumberFormat="1" applyFont="1" applyFill="1" applyBorder="1" applyAlignment="1">
      <alignment horizontal="center" vertical="center"/>
    </xf>
    <xf numFmtId="17" fontId="72" fillId="27" borderId="19" xfId="395" applyNumberFormat="1" applyFont="1" applyFill="1" applyBorder="1" applyAlignment="1">
      <alignment horizontal="center" vertical="center"/>
    </xf>
    <xf numFmtId="17" fontId="72" fillId="27" borderId="14" xfId="395" applyNumberFormat="1" applyFont="1" applyFill="1" applyBorder="1" applyAlignment="1">
      <alignment horizontal="center" vertical="center"/>
    </xf>
    <xf numFmtId="167" fontId="72" fillId="27" borderId="11" xfId="325" applyNumberFormat="1" applyFont="1" applyFill="1" applyBorder="1" applyAlignment="1">
      <alignment horizontal="center" vertical="center"/>
    </xf>
    <xf numFmtId="167" fontId="56" fillId="27" borderId="11" xfId="325" applyNumberFormat="1" applyFont="1" applyFill="1" applyBorder="1" applyAlignment="1">
      <alignment horizontal="center" vertical="center"/>
    </xf>
    <xf numFmtId="167" fontId="56" fillId="27" borderId="22" xfId="325" applyNumberFormat="1" applyFont="1" applyFill="1" applyBorder="1" applyAlignment="1">
      <alignment horizontal="center" vertical="center"/>
    </xf>
    <xf numFmtId="174" fontId="64" fillId="27" borderId="0" xfId="0" applyFont="1" applyFill="1" applyAlignment="1">
      <alignment horizontal="center"/>
    </xf>
    <xf numFmtId="174" fontId="56" fillId="27" borderId="0" xfId="348" applyFont="1" applyFill="1" applyBorder="1" applyAlignment="1">
      <alignment horizontal="center"/>
    </xf>
    <xf numFmtId="174" fontId="56" fillId="0" borderId="0" xfId="348" applyFont="1" applyFill="1" applyBorder="1" applyAlignment="1">
      <alignment horizontal="center"/>
    </xf>
    <xf numFmtId="174" fontId="56" fillId="0" borderId="0" xfId="348" applyFont="1" applyAlignment="1">
      <alignment horizontal="center"/>
    </xf>
    <xf numFmtId="43" fontId="58" fillId="0" borderId="0" xfId="324" applyFont="1" applyFill="1" applyBorder="1" applyAlignment="1">
      <alignment horizontal="right"/>
    </xf>
    <xf numFmtId="10" fontId="56" fillId="27" borderId="0" xfId="552" applyNumberFormat="1" applyFont="1" applyFill="1" applyBorder="1" applyAlignment="1">
      <alignment vertical="center"/>
    </xf>
    <xf numFmtId="43" fontId="72" fillId="27" borderId="0" xfId="337" applyNumberFormat="1" applyFont="1" applyFill="1" applyBorder="1" applyAlignment="1">
      <alignment vertical="center"/>
    </xf>
    <xf numFmtId="182" fontId="76" fillId="0" borderId="12" xfId="1095" applyNumberFormat="1" applyFont="1" applyFill="1" applyBorder="1" applyAlignment="1">
      <alignment horizontal="right" vertical="center" wrapText="1"/>
    </xf>
    <xf numFmtId="3" fontId="67" fillId="27" borderId="21" xfId="0" applyNumberFormat="1" applyFont="1" applyFill="1" applyBorder="1" applyAlignment="1">
      <alignment horizontal="right"/>
    </xf>
    <xf numFmtId="3" fontId="67" fillId="27" borderId="20" xfId="0" applyNumberFormat="1" applyFont="1" applyFill="1" applyBorder="1" applyAlignment="1">
      <alignment horizontal="right"/>
    </xf>
    <xf numFmtId="3" fontId="67" fillId="27" borderId="18" xfId="0" applyNumberFormat="1" applyFont="1" applyFill="1" applyBorder="1" applyAlignment="1">
      <alignment horizontal="right"/>
    </xf>
    <xf numFmtId="3" fontId="67" fillId="27" borderId="12" xfId="0" applyNumberFormat="1" applyFont="1" applyFill="1" applyBorder="1" applyAlignment="1">
      <alignment horizontal="right"/>
    </xf>
    <xf numFmtId="3" fontId="67" fillId="27" borderId="0" xfId="0" applyNumberFormat="1" applyFont="1" applyFill="1" applyBorder="1" applyAlignment="1">
      <alignment horizontal="right"/>
    </xf>
    <xf numFmtId="3" fontId="67" fillId="27" borderId="11" xfId="0" applyNumberFormat="1" applyFont="1" applyFill="1" applyBorder="1" applyAlignment="1">
      <alignment horizontal="right"/>
    </xf>
    <xf numFmtId="4" fontId="85" fillId="27" borderId="0" xfId="0" applyNumberFormat="1" applyFont="1" applyFill="1" applyBorder="1" applyAlignment="1">
      <alignment horizontal="right"/>
    </xf>
    <xf numFmtId="174" fontId="69" fillId="27" borderId="15" xfId="0" applyNumberFormat="1" applyFont="1" applyFill="1" applyBorder="1" applyAlignment="1">
      <alignment horizontal="center" vertical="center"/>
    </xf>
    <xf numFmtId="174" fontId="69" fillId="0" borderId="15" xfId="0" applyNumberFormat="1" applyFont="1" applyFill="1" applyBorder="1" applyAlignment="1">
      <alignment horizontal="center" vertical="center" wrapText="1"/>
    </xf>
    <xf numFmtId="174" fontId="69" fillId="0" borderId="23" xfId="0" applyNumberFormat="1" applyFont="1" applyFill="1" applyBorder="1" applyAlignment="1">
      <alignment horizontal="center" vertical="center" wrapText="1"/>
    </xf>
    <xf numFmtId="175" fontId="58" fillId="27" borderId="20" xfId="0" applyNumberFormat="1" applyFont="1" applyFill="1" applyBorder="1" applyAlignment="1">
      <alignment horizontal="right"/>
    </xf>
    <xf numFmtId="3" fontId="58" fillId="27" borderId="0" xfId="0" applyNumberFormat="1" applyFont="1" applyFill="1" applyBorder="1" applyAlignment="1">
      <alignment horizontal="right"/>
    </xf>
    <xf numFmtId="175" fontId="69" fillId="27" borderId="24" xfId="0" applyNumberFormat="1" applyFont="1" applyFill="1" applyBorder="1" applyAlignment="1">
      <alignment horizontal="right"/>
    </xf>
    <xf numFmtId="175" fontId="58" fillId="27" borderId="0" xfId="0" applyNumberFormat="1" applyFont="1" applyFill="1" applyBorder="1" applyAlignment="1">
      <alignment horizontal="right"/>
    </xf>
    <xf numFmtId="1" fontId="69" fillId="27" borderId="15" xfId="348" applyNumberFormat="1" applyFont="1" applyFill="1" applyBorder="1" applyAlignment="1">
      <alignment horizontal="center" vertical="center"/>
    </xf>
    <xf numFmtId="4" fontId="69" fillId="27" borderId="15" xfId="0" applyNumberFormat="1" applyFont="1" applyFill="1" applyBorder="1" applyAlignment="1">
      <alignment horizontal="right"/>
    </xf>
    <xf numFmtId="4" fontId="69" fillId="27" borderId="23" xfId="0" applyNumberFormat="1" applyFont="1" applyFill="1" applyBorder="1" applyAlignment="1">
      <alignment horizontal="right"/>
    </xf>
    <xf numFmtId="4" fontId="69" fillId="27" borderId="16" xfId="0" applyNumberFormat="1" applyFont="1" applyFill="1" applyBorder="1" applyAlignment="1">
      <alignment horizontal="right"/>
    </xf>
    <xf numFmtId="1" fontId="69" fillId="27" borderId="20" xfId="348" applyNumberFormat="1" applyFont="1" applyFill="1" applyBorder="1" applyAlignment="1">
      <alignment horizontal="left" vertical="center"/>
    </xf>
    <xf numFmtId="17" fontId="69" fillId="27" borderId="20" xfId="348" applyNumberFormat="1" applyFont="1" applyFill="1" applyBorder="1" applyAlignment="1">
      <alignment horizontal="left" vertical="center"/>
    </xf>
    <xf numFmtId="167" fontId="64" fillId="27" borderId="18" xfId="324" applyNumberFormat="1" applyFont="1" applyFill="1" applyBorder="1" applyAlignment="1">
      <alignment horizontal="center" vertical="center"/>
    </xf>
    <xf numFmtId="167" fontId="64" fillId="27" borderId="11" xfId="324" applyNumberFormat="1" applyFont="1" applyFill="1" applyBorder="1" applyAlignment="1">
      <alignment horizontal="center" vertical="center"/>
    </xf>
    <xf numFmtId="43" fontId="86" fillId="0" borderId="21" xfId="0" applyNumberFormat="1" applyFont="1" applyFill="1" applyBorder="1" applyAlignment="1" applyProtection="1">
      <alignment horizontal="center" vertical="center"/>
    </xf>
    <xf numFmtId="43" fontId="86" fillId="0" borderId="12" xfId="0" applyNumberFormat="1" applyFont="1" applyFill="1" applyBorder="1" applyAlignment="1" applyProtection="1">
      <alignment horizontal="center" vertical="center"/>
    </xf>
    <xf numFmtId="43" fontId="86" fillId="0" borderId="25" xfId="0" applyNumberFormat="1" applyFont="1" applyFill="1" applyBorder="1" applyAlignment="1" applyProtection="1">
      <alignment horizontal="center" vertical="center"/>
    </xf>
    <xf numFmtId="43" fontId="86" fillId="0" borderId="20" xfId="0" applyNumberFormat="1" applyFont="1" applyFill="1" applyBorder="1" applyAlignment="1" applyProtection="1">
      <alignment horizontal="center" vertical="center"/>
    </xf>
    <xf numFmtId="43" fontId="86" fillId="0" borderId="0" xfId="0" applyNumberFormat="1" applyFont="1" applyFill="1" applyBorder="1" applyAlignment="1" applyProtection="1">
      <alignment horizontal="center" vertical="center"/>
    </xf>
    <xf numFmtId="43" fontId="86" fillId="0" borderId="24" xfId="0" applyNumberFormat="1" applyFont="1" applyFill="1" applyBorder="1" applyAlignment="1" applyProtection="1">
      <alignment horizontal="center" vertical="center"/>
    </xf>
    <xf numFmtId="43" fontId="86" fillId="27" borderId="20" xfId="0" applyNumberFormat="1" applyFont="1" applyFill="1" applyBorder="1" applyAlignment="1" applyProtection="1">
      <alignment horizontal="center" vertical="center"/>
    </xf>
    <xf numFmtId="43" fontId="86" fillId="27" borderId="0" xfId="0" applyNumberFormat="1" applyFont="1" applyFill="1" applyBorder="1" applyAlignment="1" applyProtection="1">
      <alignment horizontal="center" vertical="center"/>
    </xf>
    <xf numFmtId="43" fontId="86" fillId="27" borderId="24" xfId="0" applyNumberFormat="1" applyFont="1" applyFill="1" applyBorder="1" applyAlignment="1" applyProtection="1">
      <alignment horizontal="center" vertical="center"/>
    </xf>
    <xf numFmtId="43" fontId="86" fillId="27" borderId="18" xfId="0" applyNumberFormat="1" applyFont="1" applyFill="1" applyBorder="1" applyAlignment="1" applyProtection="1">
      <alignment horizontal="center" vertical="center"/>
    </xf>
    <xf numFmtId="43" fontId="86" fillId="27" borderId="11" xfId="0" applyNumberFormat="1" applyFont="1" applyFill="1" applyBorder="1" applyAlignment="1" applyProtection="1">
      <alignment horizontal="center" vertical="center"/>
    </xf>
    <xf numFmtId="43" fontId="86" fillId="27" borderId="22" xfId="0" applyNumberFormat="1" applyFont="1" applyFill="1" applyBorder="1" applyAlignment="1" applyProtection="1">
      <alignment horizontal="center" vertical="center"/>
    </xf>
    <xf numFmtId="43" fontId="69" fillId="27" borderId="13" xfId="395" applyNumberFormat="1" applyFont="1" applyFill="1" applyBorder="1" applyAlignment="1">
      <alignment horizontal="center" vertical="center" wrapText="1"/>
    </xf>
    <xf numFmtId="43" fontId="69" fillId="27" borderId="15" xfId="395" applyNumberFormat="1" applyFont="1" applyFill="1" applyBorder="1" applyAlignment="1">
      <alignment horizontal="center" vertical="center" wrapText="1"/>
    </xf>
    <xf numFmtId="182" fontId="0" fillId="0" borderId="0" xfId="0" applyNumberFormat="1"/>
    <xf numFmtId="171" fontId="6" fillId="0" borderId="0" xfId="552" applyNumberFormat="1" applyFont="1" applyFill="1" applyBorder="1" applyAlignment="1">
      <alignment horizontal="right"/>
    </xf>
    <xf numFmtId="3" fontId="67" fillId="27" borderId="0" xfId="0" applyNumberFormat="1" applyFont="1" applyFill="1" applyBorder="1" applyAlignment="1">
      <alignment horizontal="right" vertical="center"/>
    </xf>
    <xf numFmtId="41" fontId="88" fillId="27" borderId="23" xfId="362" applyNumberFormat="1" applyFont="1" applyFill="1" applyBorder="1" applyAlignment="1">
      <alignment horizontal="right" vertical="center"/>
    </xf>
    <xf numFmtId="174" fontId="58" fillId="0" borderId="13" xfId="0" applyFont="1" applyBorder="1"/>
    <xf numFmtId="174" fontId="58" fillId="40" borderId="13" xfId="0" applyFont="1" applyFill="1" applyBorder="1"/>
    <xf numFmtId="174" fontId="58" fillId="39" borderId="13" xfId="0" applyFont="1" applyFill="1" applyBorder="1"/>
    <xf numFmtId="174" fontId="58" fillId="38" borderId="13" xfId="0" applyFont="1" applyFill="1" applyBorder="1"/>
    <xf numFmtId="174" fontId="58" fillId="29" borderId="13" xfId="0" applyFont="1" applyFill="1" applyBorder="1"/>
    <xf numFmtId="174" fontId="69" fillId="0" borderId="13" xfId="0" applyFont="1" applyBorder="1" applyAlignment="1">
      <alignment horizontal="center"/>
    </xf>
    <xf numFmtId="3" fontId="72" fillId="27" borderId="21" xfId="329" applyNumberFormat="1" applyFont="1" applyFill="1" applyBorder="1" applyAlignment="1">
      <alignment horizontal="center" vertical="center"/>
    </xf>
    <xf numFmtId="171" fontId="69" fillId="27" borderId="25" xfId="0" applyNumberFormat="1" applyFont="1" applyFill="1" applyBorder="1"/>
    <xf numFmtId="3" fontId="72" fillId="27" borderId="20" xfId="329" applyNumberFormat="1" applyFont="1" applyFill="1" applyBorder="1" applyAlignment="1">
      <alignment horizontal="center" vertical="center"/>
    </xf>
    <xf numFmtId="171" fontId="69" fillId="27" borderId="24" xfId="0" applyNumberFormat="1" applyFont="1" applyFill="1" applyBorder="1"/>
    <xf numFmtId="174" fontId="92" fillId="0" borderId="0" xfId="0" applyFont="1" applyFill="1" applyBorder="1" applyAlignment="1">
      <alignment horizontal="center" vertical="center" wrapText="1"/>
    </xf>
    <xf numFmtId="40" fontId="49" fillId="0" borderId="0" xfId="744" applyNumberFormat="1"/>
    <xf numFmtId="0" fontId="69" fillId="0" borderId="19" xfId="745" applyFont="1" applyFill="1" applyBorder="1" applyAlignment="1">
      <alignment horizontal="center"/>
    </xf>
    <xf numFmtId="174" fontId="85" fillId="0" borderId="20" xfId="0" applyFont="1" applyFill="1" applyBorder="1" applyAlignment="1">
      <alignment horizontal="center" vertical="center" wrapText="1"/>
    </xf>
    <xf numFmtId="174" fontId="85" fillId="0" borderId="0" xfId="0" applyFont="1" applyFill="1" applyBorder="1" applyAlignment="1">
      <alignment horizontal="center" vertical="center" wrapText="1"/>
    </xf>
    <xf numFmtId="167" fontId="65" fillId="37" borderId="0" xfId="0" applyNumberFormat="1" applyFont="1" applyFill="1" applyBorder="1" applyAlignment="1">
      <alignment horizontal="center" vertical="center"/>
    </xf>
    <xf numFmtId="174" fontId="0" fillId="0" borderId="0" xfId="0" applyNumberFormat="1" applyBorder="1" applyAlignment="1">
      <alignment vertical="center"/>
    </xf>
    <xf numFmtId="43" fontId="72" fillId="27" borderId="15" xfId="0" applyNumberFormat="1" applyFont="1" applyFill="1" applyBorder="1" applyAlignment="1">
      <alignment horizontal="center" vertical="center"/>
    </xf>
    <xf numFmtId="171" fontId="69" fillId="27" borderId="13" xfId="552" applyNumberFormat="1" applyFont="1" applyFill="1" applyBorder="1" applyAlignment="1">
      <alignment horizontal="center" vertical="center"/>
    </xf>
    <xf numFmtId="10" fontId="86" fillId="0" borderId="0" xfId="634" applyNumberFormat="1" applyFont="1" applyFill="1" applyBorder="1" applyAlignment="1">
      <alignment horizontal="center"/>
    </xf>
    <xf numFmtId="10" fontId="85" fillId="0" borderId="24" xfId="552" applyNumberFormat="1" applyFont="1" applyFill="1" applyBorder="1" applyAlignment="1">
      <alignment horizontal="center"/>
    </xf>
    <xf numFmtId="10" fontId="86" fillId="0" borderId="11" xfId="634" applyNumberFormat="1" applyFont="1" applyFill="1" applyBorder="1" applyAlignment="1">
      <alignment horizontal="center"/>
    </xf>
    <xf numFmtId="10" fontId="85" fillId="0" borderId="22" xfId="552" applyNumberFormat="1" applyFont="1" applyFill="1" applyBorder="1" applyAlignment="1">
      <alignment horizontal="center"/>
    </xf>
    <xf numFmtId="174" fontId="70" fillId="0" borderId="0" xfId="0" applyFont="1" applyFill="1" applyBorder="1"/>
    <xf numFmtId="174" fontId="148" fillId="0" borderId="0" xfId="0" applyFont="1"/>
    <xf numFmtId="174" fontId="149" fillId="0" borderId="0" xfId="0" applyFont="1" applyBorder="1" applyAlignment="1">
      <alignment vertical="top"/>
    </xf>
    <xf numFmtId="174" fontId="50" fillId="0" borderId="0" xfId="389" applyFont="1"/>
    <xf numFmtId="9" fontId="126" fillId="0" borderId="22" xfId="552" applyNumberFormat="1" applyFont="1" applyFill="1" applyBorder="1" applyAlignment="1">
      <alignment horizontal="center"/>
    </xf>
    <xf numFmtId="167" fontId="86" fillId="27" borderId="12" xfId="324" applyNumberFormat="1" applyFont="1" applyFill="1" applyBorder="1" applyAlignment="1"/>
    <xf numFmtId="167" fontId="85" fillId="27" borderId="17" xfId="324" applyNumberFormat="1" applyFont="1" applyFill="1" applyBorder="1" applyAlignment="1"/>
    <xf numFmtId="171" fontId="85" fillId="27" borderId="23" xfId="0" applyNumberFormat="1" applyFont="1" applyFill="1" applyBorder="1"/>
    <xf numFmtId="174" fontId="50" fillId="27" borderId="0" xfId="0" applyFont="1" applyFill="1" applyBorder="1"/>
    <xf numFmtId="199" fontId="50" fillId="27" borderId="0" xfId="0" applyNumberFormat="1" applyFont="1" applyFill="1" applyBorder="1"/>
    <xf numFmtId="199" fontId="150" fillId="27" borderId="0" xfId="0" applyNumberFormat="1" applyFont="1" applyFill="1" applyBorder="1" applyAlignment="1">
      <alignment horizontal="center" vertical="center" wrapText="1"/>
    </xf>
    <xf numFmtId="199" fontId="95" fillId="27" borderId="0" xfId="0" applyNumberFormat="1" applyFont="1" applyFill="1" applyBorder="1" applyAlignment="1">
      <alignment horizontal="center"/>
    </xf>
    <xf numFmtId="3" fontId="151" fillId="0" borderId="0" xfId="0" applyNumberFormat="1" applyFont="1" applyFill="1" applyBorder="1" applyAlignment="1">
      <alignment horizontal="center"/>
    </xf>
    <xf numFmtId="10" fontId="54" fillId="0" borderId="0" xfId="552" applyNumberFormat="1" applyFont="1"/>
    <xf numFmtId="10" fontId="54" fillId="0" borderId="0" xfId="0" applyNumberFormat="1" applyFont="1"/>
    <xf numFmtId="10" fontId="71" fillId="0" borderId="0" xfId="0" applyNumberFormat="1" applyFont="1"/>
    <xf numFmtId="10" fontId="142" fillId="0" borderId="0" xfId="0" applyNumberFormat="1" applyFont="1"/>
    <xf numFmtId="171" fontId="0" fillId="0" borderId="0" xfId="552" applyNumberFormat="1" applyFont="1" applyAlignment="1">
      <alignment horizontal="center" vertical="center"/>
    </xf>
    <xf numFmtId="174" fontId="54" fillId="0" borderId="0" xfId="0" applyFont="1" applyAlignment="1">
      <alignment horizontal="center" vertical="center"/>
    </xf>
    <xf numFmtId="3" fontId="67" fillId="27" borderId="0" xfId="0" applyNumberFormat="1" applyFont="1" applyFill="1" applyBorder="1" applyAlignment="1" applyProtection="1">
      <alignment horizontal="center"/>
    </xf>
    <xf numFmtId="10" fontId="72" fillId="27" borderId="0" xfId="0" applyNumberFormat="1" applyFont="1" applyFill="1" applyBorder="1"/>
    <xf numFmtId="43" fontId="71" fillId="27" borderId="24" xfId="324" applyFont="1" applyFill="1" applyBorder="1"/>
    <xf numFmtId="174" fontId="85" fillId="27" borderId="15" xfId="0" applyFont="1" applyFill="1" applyBorder="1" applyAlignment="1">
      <alignment horizontal="left" vertical="center" wrapText="1"/>
    </xf>
    <xf numFmtId="43" fontId="85" fillId="27" borderId="16" xfId="608" applyFont="1" applyFill="1" applyBorder="1" applyAlignment="1">
      <alignment horizontal="right"/>
    </xf>
    <xf numFmtId="43" fontId="85" fillId="27" borderId="15" xfId="608" applyFont="1" applyFill="1" applyBorder="1" applyAlignment="1">
      <alignment horizontal="right"/>
    </xf>
    <xf numFmtId="43" fontId="113" fillId="27" borderId="16" xfId="608" applyFont="1" applyFill="1" applyBorder="1" applyAlignment="1">
      <alignment horizontal="right"/>
    </xf>
    <xf numFmtId="43" fontId="109" fillId="27" borderId="0" xfId="608" applyFont="1" applyFill="1" applyBorder="1" applyAlignment="1">
      <alignment horizontal="right"/>
    </xf>
    <xf numFmtId="43" fontId="109" fillId="27" borderId="24" xfId="608" applyFont="1" applyFill="1" applyBorder="1" applyAlignment="1">
      <alignment horizontal="right"/>
    </xf>
    <xf numFmtId="174" fontId="57" fillId="0" borderId="0" xfId="0" applyFont="1" applyFill="1" applyBorder="1" applyAlignment="1">
      <alignment horizontal="center" vertical="center" wrapText="1"/>
    </xf>
    <xf numFmtId="174" fontId="85" fillId="27" borderId="23" xfId="0" applyNumberFormat="1" applyFont="1" applyFill="1" applyBorder="1" applyAlignment="1">
      <alignment horizontal="center" vertical="center" wrapText="1"/>
    </xf>
    <xf numFmtId="3" fontId="67" fillId="0" borderId="21" xfId="337" applyNumberFormat="1" applyFont="1" applyFill="1" applyBorder="1" applyAlignment="1">
      <alignment horizontal="center"/>
    </xf>
    <xf numFmtId="3" fontId="67" fillId="0" borderId="12" xfId="337" applyNumberFormat="1" applyFont="1" applyFill="1" applyBorder="1" applyAlignment="1">
      <alignment horizontal="center"/>
    </xf>
    <xf numFmtId="3" fontId="67" fillId="0" borderId="25" xfId="337" applyNumberFormat="1" applyFont="1" applyFill="1" applyBorder="1" applyAlignment="1">
      <alignment horizontal="center"/>
    </xf>
    <xf numFmtId="3" fontId="88" fillId="0" borderId="17" xfId="337" applyNumberFormat="1" applyFont="1" applyFill="1" applyBorder="1" applyAlignment="1">
      <alignment horizontal="center"/>
    </xf>
    <xf numFmtId="171" fontId="88" fillId="0" borderId="12" xfId="337" applyNumberFormat="1" applyFont="1" applyFill="1" applyBorder="1" applyAlignment="1">
      <alignment horizontal="center"/>
    </xf>
    <xf numFmtId="171" fontId="76" fillId="0" borderId="25" xfId="0" applyNumberFormat="1" applyFont="1" applyFill="1" applyBorder="1" applyAlignment="1">
      <alignment horizontal="center"/>
    </xf>
    <xf numFmtId="3" fontId="67" fillId="0" borderId="20" xfId="337" applyNumberFormat="1" applyFont="1" applyFill="1" applyBorder="1" applyAlignment="1">
      <alignment horizontal="center"/>
    </xf>
    <xf numFmtId="3" fontId="88" fillId="0" borderId="19" xfId="337" applyNumberFormat="1" applyFont="1" applyFill="1" applyBorder="1" applyAlignment="1">
      <alignment horizontal="center"/>
    </xf>
    <xf numFmtId="171" fontId="88" fillId="0" borderId="0" xfId="337" applyNumberFormat="1" applyFont="1" applyFill="1" applyBorder="1" applyAlignment="1">
      <alignment horizontal="center"/>
    </xf>
    <xf numFmtId="171" fontId="76" fillId="0" borderId="24" xfId="0" applyNumberFormat="1" applyFont="1" applyFill="1" applyBorder="1" applyAlignment="1">
      <alignment horizontal="center"/>
    </xf>
    <xf numFmtId="3" fontId="67" fillId="27" borderId="18" xfId="337" applyNumberFormat="1" applyFont="1" applyFill="1" applyBorder="1" applyAlignment="1">
      <alignment horizontal="center"/>
    </xf>
    <xf numFmtId="3" fontId="88" fillId="0" borderId="14" xfId="337" applyNumberFormat="1" applyFont="1" applyFill="1" applyBorder="1" applyAlignment="1">
      <alignment horizontal="center"/>
    </xf>
    <xf numFmtId="171" fontId="88" fillId="0" borderId="11" xfId="337" applyNumberFormat="1" applyFont="1" applyFill="1" applyBorder="1" applyAlignment="1">
      <alignment horizontal="center"/>
    </xf>
    <xf numFmtId="171" fontId="76" fillId="0" borderId="22" xfId="0" applyNumberFormat="1" applyFont="1" applyFill="1" applyBorder="1" applyAlignment="1">
      <alignment horizontal="center"/>
    </xf>
    <xf numFmtId="174" fontId="122" fillId="0" borderId="0" xfId="0" applyFont="1" applyAlignment="1">
      <alignment vertical="center"/>
    </xf>
    <xf numFmtId="180" fontId="49" fillId="0" borderId="0" xfId="389" applyNumberFormat="1" applyFont="1" applyBorder="1"/>
    <xf numFmtId="10" fontId="85" fillId="27" borderId="19" xfId="392" applyNumberFormat="1" applyFont="1" applyFill="1" applyBorder="1" applyAlignment="1">
      <alignment horizontal="center" vertical="center"/>
    </xf>
    <xf numFmtId="40" fontId="72" fillId="27" borderId="19" xfId="324" applyNumberFormat="1" applyFont="1" applyFill="1" applyBorder="1"/>
    <xf numFmtId="174" fontId="0" fillId="0" borderId="0" xfId="0" applyBorder="1" applyAlignment="1">
      <alignment horizontal="center"/>
    </xf>
    <xf numFmtId="174" fontId="86" fillId="0" borderId="0" xfId="0" applyFont="1" applyFill="1" applyBorder="1" applyAlignment="1">
      <alignment horizontal="left" vertical="center" wrapText="1"/>
    </xf>
    <xf numFmtId="174" fontId="67" fillId="27" borderId="12" xfId="0" applyNumberFormat="1" applyFont="1" applyFill="1" applyBorder="1" applyAlignment="1">
      <alignment horizontal="left" vertical="center" wrapText="1"/>
    </xf>
    <xf numFmtId="174" fontId="63" fillId="27" borderId="0" xfId="0" applyNumberFormat="1" applyFont="1" applyFill="1" applyBorder="1" applyAlignment="1" applyProtection="1">
      <alignment horizontal="center" vertical="center" wrapText="1"/>
    </xf>
    <xf numFmtId="174" fontId="77" fillId="0" borderId="0" xfId="0" applyNumberFormat="1" applyFont="1" applyBorder="1" applyAlignment="1">
      <alignment horizontal="left" vertical="top" wrapText="1"/>
    </xf>
    <xf numFmtId="174" fontId="97" fillId="27" borderId="0" xfId="0" applyFont="1" applyFill="1" applyBorder="1" applyAlignment="1">
      <alignment horizontal="center" vertical="center" wrapText="1"/>
    </xf>
    <xf numFmtId="174" fontId="91" fillId="0" borderId="0" xfId="0" applyFont="1" applyAlignment="1">
      <alignment horizontal="justify" vertical="justify" wrapText="1"/>
    </xf>
    <xf numFmtId="174" fontId="70" fillId="0" borderId="0" xfId="0" applyNumberFormat="1" applyFont="1" applyBorder="1" applyAlignment="1">
      <alignment horizontal="left"/>
    </xf>
    <xf numFmtId="174" fontId="74" fillId="27" borderId="0" xfId="0" applyFont="1" applyFill="1" applyBorder="1" applyAlignment="1">
      <alignment horizontal="center" vertical="center" wrapText="1"/>
    </xf>
    <xf numFmtId="174" fontId="74" fillId="0" borderId="0" xfId="0" applyFont="1" applyFill="1" applyBorder="1" applyAlignment="1">
      <alignment horizontal="center" vertical="center" wrapText="1"/>
    </xf>
    <xf numFmtId="174" fontId="77" fillId="0" borderId="0" xfId="0" applyNumberFormat="1" applyFont="1" applyBorder="1" applyAlignment="1">
      <alignment horizontal="left"/>
    </xf>
    <xf numFmtId="174" fontId="70" fillId="0" borderId="0" xfId="0" applyNumberFormat="1" applyFont="1" applyBorder="1" applyAlignment="1">
      <alignment horizontal="left" wrapText="1" indent="1"/>
    </xf>
    <xf numFmtId="174" fontId="88" fillId="0" borderId="15" xfId="0" applyNumberFormat="1" applyFont="1" applyFill="1" applyBorder="1" applyAlignment="1">
      <alignment horizontal="center" vertical="center"/>
    </xf>
    <xf numFmtId="174" fontId="88" fillId="0" borderId="23" xfId="0" applyNumberFormat="1" applyFont="1" applyFill="1" applyBorder="1" applyAlignment="1">
      <alignment horizontal="center" vertical="center"/>
    </xf>
    <xf numFmtId="174" fontId="88" fillId="0" borderId="16" xfId="0" applyNumberFormat="1" applyFont="1" applyFill="1" applyBorder="1" applyAlignment="1">
      <alignment horizontal="center" vertical="center"/>
    </xf>
    <xf numFmtId="174" fontId="76" fillId="0" borderId="23" xfId="0" applyFont="1" applyBorder="1" applyAlignment="1">
      <alignment horizontal="center" vertical="center"/>
    </xf>
    <xf numFmtId="174" fontId="76" fillId="0" borderId="16" xfId="0" applyFont="1" applyBorder="1" applyAlignment="1">
      <alignment horizontal="center" vertical="center"/>
    </xf>
    <xf numFmtId="174" fontId="57" fillId="0" borderId="0" xfId="0" applyFont="1" applyFill="1" applyBorder="1" applyAlignment="1">
      <alignment horizontal="center" vertical="center" wrapText="1"/>
    </xf>
    <xf numFmtId="174" fontId="122" fillId="0" borderId="0" xfId="0" applyFont="1" applyBorder="1" applyAlignment="1">
      <alignment horizontal="left" vertical="center" wrapText="1"/>
    </xf>
    <xf numFmtId="174" fontId="88" fillId="0" borderId="13" xfId="389" applyFont="1" applyFill="1" applyBorder="1" applyAlignment="1">
      <alignment horizontal="center" vertical="center" wrapText="1"/>
    </xf>
    <xf numFmtId="174" fontId="90" fillId="27" borderId="0" xfId="0" applyFont="1" applyFill="1" applyBorder="1" applyAlignment="1">
      <alignment horizontal="center" vertical="center" wrapText="1"/>
    </xf>
    <xf numFmtId="174" fontId="90" fillId="27" borderId="13" xfId="0" applyFont="1" applyFill="1" applyBorder="1" applyAlignment="1">
      <alignment horizontal="center" vertical="center" wrapText="1"/>
    </xf>
    <xf numFmtId="174" fontId="64" fillId="0" borderId="0" xfId="0" applyNumberFormat="1" applyFont="1" applyBorder="1" applyAlignment="1">
      <alignment horizontal="left" vertical="top"/>
    </xf>
    <xf numFmtId="174" fontId="64" fillId="0" borderId="0" xfId="0" applyNumberFormat="1" applyFont="1" applyBorder="1" applyAlignment="1">
      <alignment horizontal="left" vertical="center"/>
    </xf>
    <xf numFmtId="174" fontId="67" fillId="0" borderId="0" xfId="0" applyNumberFormat="1" applyFont="1" applyBorder="1" applyAlignment="1">
      <alignment horizontal="left" vertical="top"/>
    </xf>
    <xf numFmtId="174" fontId="72" fillId="27" borderId="25" xfId="0" applyNumberFormat="1" applyFont="1" applyFill="1" applyBorder="1" applyAlignment="1">
      <alignment horizontal="center" vertical="center" wrapText="1"/>
    </xf>
    <xf numFmtId="174" fontId="72" fillId="27" borderId="22" xfId="0" applyNumberFormat="1" applyFont="1" applyFill="1" applyBorder="1" applyAlignment="1">
      <alignment horizontal="center" vertical="center" wrapText="1"/>
    </xf>
    <xf numFmtId="174" fontId="59" fillId="0" borderId="15" xfId="0" applyFont="1" applyFill="1" applyBorder="1" applyAlignment="1">
      <alignment horizontal="center" vertical="center" wrapText="1"/>
    </xf>
    <xf numFmtId="174" fontId="59" fillId="0" borderId="23" xfId="0" applyFont="1" applyFill="1" applyBorder="1" applyAlignment="1">
      <alignment horizontal="center" vertical="center" wrapText="1"/>
    </xf>
    <xf numFmtId="174" fontId="72" fillId="27" borderId="17" xfId="0" applyNumberFormat="1" applyFont="1" applyFill="1" applyBorder="1" applyAlignment="1">
      <alignment horizontal="center" vertical="center" wrapText="1"/>
    </xf>
    <xf numFmtId="174" fontId="72" fillId="27" borderId="14" xfId="0" applyNumberFormat="1" applyFont="1" applyFill="1" applyBorder="1" applyAlignment="1">
      <alignment horizontal="center" vertical="center" wrapText="1"/>
    </xf>
    <xf numFmtId="17" fontId="72" fillId="27" borderId="17" xfId="0" applyNumberFormat="1" applyFont="1" applyFill="1" applyBorder="1" applyAlignment="1">
      <alignment horizontal="center" vertical="center"/>
    </xf>
    <xf numFmtId="17" fontId="72" fillId="27" borderId="14" xfId="0" applyNumberFormat="1" applyFont="1" applyFill="1" applyBorder="1" applyAlignment="1">
      <alignment horizontal="center" vertical="center"/>
    </xf>
    <xf numFmtId="174" fontId="89" fillId="27" borderId="13" xfId="0" applyFont="1" applyFill="1" applyBorder="1" applyAlignment="1">
      <alignment horizontal="center" vertical="center" wrapText="1"/>
    </xf>
    <xf numFmtId="174" fontId="0" fillId="0" borderId="12" xfId="0" applyBorder="1" applyAlignment="1">
      <alignment horizontal="left"/>
    </xf>
    <xf numFmtId="174" fontId="82" fillId="27" borderId="0" xfId="0" applyFont="1" applyFill="1" applyBorder="1" applyAlignment="1">
      <alignment horizontal="center" vertical="center" wrapText="1"/>
    </xf>
    <xf numFmtId="49" fontId="69" fillId="27" borderId="12" xfId="395" applyNumberFormat="1" applyFont="1" applyFill="1" applyBorder="1" applyAlignment="1">
      <alignment horizontal="left"/>
    </xf>
    <xf numFmtId="174" fontId="85" fillId="0" borderId="15" xfId="0" applyFont="1" applyFill="1" applyBorder="1" applyAlignment="1">
      <alignment horizontal="center" vertical="center" wrapText="1"/>
    </xf>
    <xf numFmtId="174" fontId="85" fillId="0" borderId="23" xfId="0" applyFont="1" applyFill="1" applyBorder="1" applyAlignment="1">
      <alignment horizontal="center" vertical="center" wrapText="1"/>
    </xf>
    <xf numFmtId="174" fontId="85" fillId="27" borderId="17" xfId="0" applyNumberFormat="1" applyFont="1" applyFill="1" applyBorder="1" applyAlignment="1">
      <alignment horizontal="center" vertical="center" wrapText="1"/>
    </xf>
    <xf numFmtId="174" fontId="85" fillId="27" borderId="14" xfId="0" applyNumberFormat="1" applyFont="1" applyFill="1" applyBorder="1" applyAlignment="1">
      <alignment horizontal="center" vertical="center" wrapText="1"/>
    </xf>
    <xf numFmtId="174" fontId="85" fillId="27" borderId="25" xfId="0" applyNumberFormat="1" applyFont="1" applyFill="1" applyBorder="1" applyAlignment="1">
      <alignment horizontal="center" vertical="center" wrapText="1"/>
    </xf>
    <xf numFmtId="174" fontId="85" fillId="27" borderId="22" xfId="0" applyNumberFormat="1" applyFont="1" applyFill="1" applyBorder="1" applyAlignment="1">
      <alignment horizontal="center" vertical="center" wrapText="1"/>
    </xf>
    <xf numFmtId="17" fontId="85" fillId="27" borderId="17" xfId="0" applyNumberFormat="1" applyFont="1" applyFill="1" applyBorder="1" applyAlignment="1">
      <alignment horizontal="center" vertical="center"/>
    </xf>
    <xf numFmtId="17" fontId="85" fillId="27" borderId="14" xfId="0" applyNumberFormat="1" applyFont="1" applyFill="1" applyBorder="1" applyAlignment="1">
      <alignment horizontal="center" vertical="center"/>
    </xf>
    <xf numFmtId="174" fontId="89" fillId="27" borderId="0" xfId="0" applyFont="1" applyFill="1" applyBorder="1" applyAlignment="1">
      <alignment horizontal="center" vertical="center" wrapText="1"/>
    </xf>
    <xf numFmtId="174" fontId="70" fillId="0" borderId="0" xfId="0" applyFont="1" applyBorder="1" applyAlignment="1">
      <alignment horizontal="left" vertical="top" wrapText="1"/>
    </xf>
    <xf numFmtId="174" fontId="0" fillId="0" borderId="0" xfId="0" applyFill="1" applyBorder="1" applyAlignment="1">
      <alignment horizontal="left" wrapText="1"/>
    </xf>
    <xf numFmtId="174" fontId="96" fillId="27" borderId="0" xfId="0" applyFont="1" applyFill="1" applyBorder="1" applyAlignment="1">
      <alignment horizontal="center" vertical="center" wrapText="1"/>
    </xf>
    <xf numFmtId="17" fontId="72" fillId="0" borderId="21" xfId="395" applyNumberFormat="1" applyFont="1" applyFill="1" applyBorder="1" applyAlignment="1">
      <alignment horizontal="left"/>
    </xf>
    <xf numFmtId="17" fontId="72" fillId="0" borderId="12" xfId="395" applyNumberFormat="1" applyFont="1" applyFill="1" applyBorder="1" applyAlignment="1">
      <alignment horizontal="left"/>
    </xf>
    <xf numFmtId="17" fontId="72" fillId="0" borderId="0" xfId="395" applyNumberFormat="1" applyFont="1" applyFill="1" applyBorder="1" applyAlignment="1">
      <alignment horizontal="left"/>
    </xf>
    <xf numFmtId="174" fontId="63" fillId="27" borderId="0" xfId="0" applyFont="1" applyFill="1" applyBorder="1" applyAlignment="1">
      <alignment horizontal="center" vertical="center" wrapText="1"/>
    </xf>
    <xf numFmtId="174" fontId="56" fillId="27" borderId="0" xfId="0" applyFont="1" applyFill="1" applyBorder="1" applyAlignment="1">
      <alignment horizontal="left" vertical="center" wrapText="1"/>
    </xf>
    <xf numFmtId="174" fontId="92" fillId="27" borderId="0" xfId="0" applyFont="1" applyFill="1" applyBorder="1" applyAlignment="1">
      <alignment horizontal="center" vertical="center" wrapText="1"/>
    </xf>
    <xf numFmtId="174" fontId="57" fillId="27" borderId="0" xfId="0" applyFont="1" applyFill="1" applyBorder="1" applyAlignment="1">
      <alignment horizontal="center" vertical="top" wrapText="1"/>
    </xf>
    <xf numFmtId="174" fontId="67" fillId="27" borderId="0" xfId="0" applyFont="1" applyFill="1" applyBorder="1" applyAlignment="1">
      <alignment horizontal="left" vertical="center" wrapText="1"/>
    </xf>
    <xf numFmtId="174" fontId="89" fillId="27" borderId="0" xfId="0" applyFont="1" applyFill="1" applyBorder="1" applyAlignment="1">
      <alignment horizontal="center" vertical="top" wrapText="1"/>
    </xf>
    <xf numFmtId="174" fontId="85" fillId="27" borderId="0" xfId="0" applyFont="1" applyFill="1" applyBorder="1" applyAlignment="1">
      <alignment horizontal="center" vertical="center" wrapText="1"/>
    </xf>
    <xf numFmtId="174" fontId="86" fillId="0" borderId="0" xfId="0" applyFont="1" applyBorder="1" applyAlignment="1">
      <alignment horizontal="left" vertical="center" wrapText="1"/>
    </xf>
    <xf numFmtId="174" fontId="86" fillId="0" borderId="0" xfId="0" applyFont="1" applyBorder="1" applyAlignment="1">
      <alignment horizontal="left" vertical="center"/>
    </xf>
    <xf numFmtId="0" fontId="89" fillId="27" borderId="0" xfId="627" applyFont="1" applyFill="1" applyBorder="1" applyAlignment="1">
      <alignment horizontal="center" vertical="center" wrapText="1"/>
    </xf>
    <xf numFmtId="174" fontId="116" fillId="0" borderId="17" xfId="0" applyFont="1" applyFill="1" applyBorder="1" applyAlignment="1">
      <alignment horizontal="center" vertical="center" wrapText="1"/>
    </xf>
    <xf numFmtId="174" fontId="116" fillId="0" borderId="14" xfId="0" applyFont="1" applyFill="1" applyBorder="1" applyAlignment="1">
      <alignment horizontal="center" vertical="center" wrapText="1"/>
    </xf>
    <xf numFmtId="174" fontId="116" fillId="0" borderId="15" xfId="0" applyFont="1" applyFill="1" applyBorder="1" applyAlignment="1">
      <alignment horizontal="center" vertical="center" wrapText="1"/>
    </xf>
    <xf numFmtId="174" fontId="116" fillId="0" borderId="23" xfId="0" applyFont="1" applyFill="1" applyBorder="1" applyAlignment="1">
      <alignment horizontal="center" vertical="center" wrapText="1"/>
    </xf>
    <xf numFmtId="174" fontId="116" fillId="0" borderId="16" xfId="0" applyFont="1" applyFill="1" applyBorder="1" applyAlignment="1">
      <alignment horizontal="center" vertical="center" wrapText="1"/>
    </xf>
    <xf numFmtId="174" fontId="74" fillId="27" borderId="0" xfId="0" applyFont="1" applyFill="1" applyBorder="1" applyAlignment="1">
      <alignment horizontal="center" vertical="top" wrapText="1"/>
    </xf>
    <xf numFmtId="174" fontId="88" fillId="0" borderId="17" xfId="0" applyNumberFormat="1" applyFont="1" applyFill="1" applyBorder="1" applyAlignment="1">
      <alignment horizontal="center" vertical="center"/>
    </xf>
    <xf numFmtId="174" fontId="86" fillId="27" borderId="0" xfId="0" applyFont="1" applyFill="1" applyBorder="1" applyAlignment="1">
      <alignment horizontal="left" vertical="top" wrapText="1"/>
    </xf>
    <xf numFmtId="174" fontId="71" fillId="27" borderId="15" xfId="0" applyNumberFormat="1" applyFont="1" applyFill="1" applyBorder="1" applyAlignment="1">
      <alignment horizontal="center" vertical="center"/>
    </xf>
    <xf numFmtId="174" fontId="71" fillId="27" borderId="23" xfId="0" applyNumberFormat="1" applyFont="1" applyFill="1" applyBorder="1" applyAlignment="1">
      <alignment horizontal="center" vertical="center"/>
    </xf>
    <xf numFmtId="174" fontId="71" fillId="27" borderId="16" xfId="0" applyNumberFormat="1" applyFont="1" applyFill="1" applyBorder="1" applyAlignment="1">
      <alignment horizontal="center" vertical="center"/>
    </xf>
    <xf numFmtId="174" fontId="88" fillId="27" borderId="15" xfId="0" applyNumberFormat="1" applyFont="1" applyFill="1" applyBorder="1" applyAlignment="1">
      <alignment horizontal="center" vertical="center"/>
    </xf>
    <xf numFmtId="174" fontId="88" fillId="27" borderId="23" xfId="0" applyNumberFormat="1" applyFont="1" applyFill="1" applyBorder="1" applyAlignment="1">
      <alignment horizontal="center" vertical="center"/>
    </xf>
    <xf numFmtId="174" fontId="88" fillId="27" borderId="16" xfId="0" applyNumberFormat="1" applyFont="1" applyFill="1" applyBorder="1" applyAlignment="1">
      <alignment horizontal="center" vertical="center"/>
    </xf>
    <xf numFmtId="174" fontId="86" fillId="0" borderId="0" xfId="0" applyNumberFormat="1" applyFont="1" applyBorder="1" applyAlignment="1">
      <alignment horizontal="left" vertical="center" wrapText="1"/>
    </xf>
    <xf numFmtId="174" fontId="55" fillId="27" borderId="15" xfId="0" applyNumberFormat="1" applyFont="1" applyFill="1" applyBorder="1" applyAlignment="1">
      <alignment horizontal="center" vertical="center"/>
    </xf>
    <xf numFmtId="174" fontId="55" fillId="27" borderId="23" xfId="0" applyNumberFormat="1" applyFont="1" applyFill="1" applyBorder="1" applyAlignment="1">
      <alignment horizontal="center" vertical="center"/>
    </xf>
    <xf numFmtId="174" fontId="55" fillId="27" borderId="16" xfId="0" applyNumberFormat="1" applyFont="1" applyFill="1" applyBorder="1" applyAlignment="1">
      <alignment horizontal="center" vertical="center"/>
    </xf>
    <xf numFmtId="174" fontId="92" fillId="40" borderId="13" xfId="0" applyFont="1" applyFill="1" applyBorder="1" applyAlignment="1">
      <alignment horizontal="center" vertical="center" wrapText="1"/>
    </xf>
    <xf numFmtId="43" fontId="57" fillId="27" borderId="0" xfId="0" applyNumberFormat="1" applyFont="1" applyFill="1" applyBorder="1" applyAlignment="1">
      <alignment horizontal="center" vertical="center" wrapText="1"/>
    </xf>
    <xf numFmtId="43" fontId="71" fillId="26" borderId="17" xfId="0" applyNumberFormat="1" applyFont="1" applyFill="1" applyBorder="1" applyAlignment="1">
      <alignment horizontal="center" vertical="center" wrapText="1"/>
    </xf>
    <xf numFmtId="43" fontId="71" fillId="26" borderId="14" xfId="0" applyNumberFormat="1" applyFont="1" applyFill="1" applyBorder="1" applyAlignment="1">
      <alignment horizontal="center" vertical="center" wrapText="1"/>
    </xf>
    <xf numFmtId="43" fontId="54" fillId="26" borderId="15" xfId="0" applyNumberFormat="1" applyFont="1" applyFill="1" applyBorder="1" applyAlignment="1">
      <alignment horizontal="center" vertical="center" wrapText="1"/>
    </xf>
    <xf numFmtId="43" fontId="54" fillId="26" borderId="23" xfId="0" applyNumberFormat="1" applyFont="1" applyFill="1" applyBorder="1" applyAlignment="1">
      <alignment horizontal="center" vertical="center" wrapText="1"/>
    </xf>
    <xf numFmtId="174" fontId="57" fillId="27" borderId="0" xfId="0" applyFont="1" applyFill="1" applyBorder="1" applyAlignment="1">
      <alignment horizontal="center" vertical="center" wrapText="1"/>
    </xf>
    <xf numFmtId="174" fontId="67" fillId="0" borderId="0" xfId="0" applyNumberFormat="1" applyFont="1" applyFill="1" applyBorder="1" applyAlignment="1">
      <alignment horizontal="left" vertical="top" wrapText="1"/>
    </xf>
    <xf numFmtId="174" fontId="85" fillId="27" borderId="17" xfId="0" applyNumberFormat="1" applyFont="1" applyFill="1" applyBorder="1" applyAlignment="1" applyProtection="1">
      <alignment horizontal="center" vertical="center"/>
    </xf>
    <xf numFmtId="174" fontId="85" fillId="27" borderId="14" xfId="0" applyNumberFormat="1" applyFont="1" applyFill="1" applyBorder="1" applyAlignment="1" applyProtection="1">
      <alignment horizontal="center" vertical="center"/>
    </xf>
    <xf numFmtId="174" fontId="85" fillId="27" borderId="23" xfId="0" applyNumberFormat="1" applyFont="1" applyFill="1" applyBorder="1" applyAlignment="1">
      <alignment horizontal="center" vertical="center" wrapText="1"/>
    </xf>
    <xf numFmtId="174" fontId="85" fillId="27" borderId="23" xfId="0" applyNumberFormat="1" applyFont="1" applyFill="1" applyBorder="1" applyAlignment="1">
      <alignment horizontal="center" vertical="center"/>
    </xf>
    <xf numFmtId="174" fontId="85" fillId="27" borderId="16" xfId="0" applyNumberFormat="1" applyFont="1" applyFill="1" applyBorder="1" applyAlignment="1">
      <alignment horizontal="center" vertical="center"/>
    </xf>
    <xf numFmtId="174" fontId="85" fillId="27" borderId="0" xfId="0" applyFont="1" applyFill="1" applyBorder="1" applyAlignment="1">
      <alignment horizontal="left" vertical="center" wrapText="1"/>
    </xf>
    <xf numFmtId="174" fontId="101" fillId="0" borderId="0" xfId="0" applyFont="1" applyFill="1" applyBorder="1" applyAlignment="1">
      <alignment horizontal="left" vertical="center" wrapText="1"/>
    </xf>
    <xf numFmtId="174" fontId="72" fillId="27" borderId="17" xfId="389" applyNumberFormat="1" applyFont="1" applyFill="1" applyBorder="1" applyAlignment="1">
      <alignment horizontal="center" vertical="center"/>
    </xf>
    <xf numFmtId="174" fontId="72" fillId="27" borderId="14" xfId="389" applyNumberFormat="1" applyFont="1" applyFill="1" applyBorder="1" applyAlignment="1">
      <alignment horizontal="center" vertical="center"/>
    </xf>
    <xf numFmtId="174" fontId="72" fillId="27" borderId="12" xfId="389" applyFont="1" applyFill="1" applyBorder="1" applyAlignment="1">
      <alignment horizontal="center" vertical="center"/>
    </xf>
    <xf numFmtId="174" fontId="72" fillId="27" borderId="15" xfId="389" applyFont="1" applyFill="1" applyBorder="1" applyAlignment="1">
      <alignment horizontal="center" vertical="center"/>
    </xf>
    <xf numFmtId="174" fontId="72" fillId="27" borderId="23" xfId="389" applyFont="1" applyFill="1" applyBorder="1" applyAlignment="1">
      <alignment horizontal="center" vertical="center"/>
    </xf>
    <xf numFmtId="174" fontId="72" fillId="27" borderId="16" xfId="389" applyFont="1" applyFill="1" applyBorder="1" applyAlignment="1">
      <alignment horizontal="center" vertical="center"/>
    </xf>
    <xf numFmtId="0" fontId="89" fillId="27" borderId="0" xfId="743" applyFont="1" applyFill="1" applyBorder="1" applyAlignment="1">
      <alignment horizontal="center" vertical="center" wrapText="1"/>
    </xf>
    <xf numFmtId="0" fontId="63" fillId="27" borderId="0" xfId="744" applyFont="1" applyFill="1" applyBorder="1" applyAlignment="1">
      <alignment horizontal="center" vertical="center" wrapText="1"/>
    </xf>
    <xf numFmtId="0" fontId="63" fillId="27" borderId="0" xfId="744" applyFont="1" applyFill="1" applyBorder="1" applyAlignment="1">
      <alignment horizontal="center" vertical="center"/>
    </xf>
    <xf numFmtId="0" fontId="92" fillId="0" borderId="0" xfId="745" applyFont="1" applyFill="1" applyBorder="1" applyAlignment="1">
      <alignment horizontal="center" vertical="center" wrapText="1"/>
    </xf>
    <xf numFmtId="174" fontId="86" fillId="27" borderId="0" xfId="0" applyNumberFormat="1" applyFont="1" applyFill="1" applyBorder="1" applyAlignment="1">
      <alignment horizontal="left" vertical="center" wrapText="1"/>
    </xf>
    <xf numFmtId="174" fontId="86" fillId="27" borderId="0" xfId="0" applyNumberFormat="1" applyFont="1" applyFill="1" applyBorder="1" applyAlignment="1">
      <alignment horizontal="left" vertical="center"/>
    </xf>
    <xf numFmtId="174" fontId="64" fillId="0" borderId="12" xfId="0" applyNumberFormat="1" applyFont="1" applyBorder="1" applyAlignment="1">
      <alignment horizontal="left" wrapText="1"/>
    </xf>
    <xf numFmtId="174" fontId="89" fillId="0" borderId="0" xfId="0" applyFont="1" applyFill="1" applyBorder="1" applyAlignment="1">
      <alignment horizontal="center" vertical="center" wrapText="1"/>
    </xf>
    <xf numFmtId="174" fontId="0" fillId="0" borderId="0" xfId="389" applyFont="1" applyBorder="1" applyAlignment="1">
      <alignment horizontal="left" vertical="top" wrapText="1"/>
    </xf>
    <xf numFmtId="174" fontId="49" fillId="0" borderId="0" xfId="389" applyFont="1" applyBorder="1" applyAlignment="1">
      <alignment horizontal="left" vertical="top" wrapText="1"/>
    </xf>
    <xf numFmtId="174" fontId="92" fillId="0" borderId="0" xfId="0" applyFont="1" applyFill="1" applyBorder="1" applyAlignment="1">
      <alignment horizontal="center" vertical="center" wrapText="1"/>
    </xf>
    <xf numFmtId="174" fontId="63" fillId="0" borderId="0" xfId="0" applyFont="1" applyFill="1" applyBorder="1" applyAlignment="1">
      <alignment horizontal="center" vertical="center" wrapText="1"/>
    </xf>
    <xf numFmtId="174" fontId="67" fillId="0" borderId="0" xfId="0" applyNumberFormat="1" applyFont="1" applyFill="1" applyBorder="1" applyAlignment="1">
      <alignment horizontal="left" vertical="center" wrapText="1"/>
    </xf>
    <xf numFmtId="174" fontId="63" fillId="0" borderId="0" xfId="443" applyFont="1" applyFill="1" applyBorder="1" applyAlignment="1">
      <alignment horizontal="center" vertical="center" wrapText="1"/>
    </xf>
    <xf numFmtId="174" fontId="57" fillId="0" borderId="0" xfId="443" applyFont="1" applyFill="1" applyBorder="1" applyAlignment="1">
      <alignment horizontal="center" vertical="center" wrapText="1"/>
    </xf>
    <xf numFmtId="174" fontId="86" fillId="27" borderId="0" xfId="0" applyFont="1" applyFill="1" applyBorder="1" applyAlignment="1">
      <alignment horizontal="left" vertical="center" wrapText="1"/>
    </xf>
    <xf numFmtId="0" fontId="89" fillId="27" borderId="0" xfId="580" applyFont="1" applyFill="1" applyBorder="1" applyAlignment="1">
      <alignment horizontal="center" vertical="center" wrapText="1"/>
    </xf>
    <xf numFmtId="0" fontId="89" fillId="27" borderId="0" xfId="580" applyFont="1" applyFill="1" applyBorder="1" applyAlignment="1">
      <alignment horizontal="center" vertical="center"/>
    </xf>
    <xf numFmtId="0" fontId="68" fillId="0" borderId="0" xfId="580" applyFont="1" applyBorder="1" applyAlignment="1">
      <alignment horizontal="center" vertical="center"/>
    </xf>
    <xf numFmtId="0" fontId="0" fillId="0" borderId="0" xfId="580" applyFont="1" applyBorder="1" applyAlignment="1">
      <alignment horizontal="left"/>
    </xf>
    <xf numFmtId="174" fontId="89" fillId="0" borderId="0" xfId="447" applyFont="1" applyFill="1" applyBorder="1" applyAlignment="1">
      <alignment horizontal="center" vertical="center" wrapText="1"/>
    </xf>
    <xf numFmtId="174" fontId="56" fillId="0" borderId="0" xfId="0" applyFont="1" applyBorder="1" applyAlignment="1">
      <alignment horizontal="left" vertical="center" wrapText="1" readingOrder="1"/>
    </xf>
    <xf numFmtId="174" fontId="60" fillId="0" borderId="0" xfId="449" applyFont="1" applyBorder="1" applyAlignment="1">
      <alignment horizontal="left"/>
    </xf>
    <xf numFmtId="0" fontId="92" fillId="27" borderId="0" xfId="580" applyFont="1" applyFill="1" applyBorder="1" applyAlignment="1">
      <alignment horizontal="center" vertical="center" wrapText="1"/>
    </xf>
    <xf numFmtId="0" fontId="92" fillId="27" borderId="0" xfId="580" applyFont="1" applyFill="1" applyBorder="1" applyAlignment="1">
      <alignment horizontal="center" vertical="center"/>
    </xf>
    <xf numFmtId="174" fontId="85" fillId="27" borderId="15" xfId="451" applyFont="1" applyFill="1" applyBorder="1" applyAlignment="1">
      <alignment horizontal="center" vertical="center" wrapText="1"/>
    </xf>
    <xf numFmtId="174" fontId="85" fillId="27" borderId="23" xfId="451" applyFont="1" applyFill="1" applyBorder="1" applyAlignment="1">
      <alignment horizontal="center" vertical="center" wrapText="1"/>
    </xf>
    <xf numFmtId="174" fontId="85" fillId="27" borderId="16" xfId="451" applyFont="1" applyFill="1" applyBorder="1" applyAlignment="1">
      <alignment horizontal="center" vertical="center" wrapText="1"/>
    </xf>
    <xf numFmtId="174" fontId="86" fillId="27" borderId="0" xfId="451" applyFont="1" applyFill="1" applyBorder="1" applyAlignment="1">
      <alignment horizontal="left" vertical="top" wrapText="1"/>
    </xf>
    <xf numFmtId="174" fontId="57" fillId="27" borderId="0" xfId="637" applyFont="1" applyFill="1" applyBorder="1" applyAlignment="1">
      <alignment horizontal="center" vertical="center" wrapText="1"/>
    </xf>
    <xf numFmtId="174" fontId="64" fillId="0" borderId="0" xfId="634" applyFont="1" applyBorder="1" applyAlignment="1">
      <alignment horizontal="left" vertical="top" wrapText="1"/>
    </xf>
    <xf numFmtId="174" fontId="85" fillId="0" borderId="15" xfId="634" applyFont="1" applyFill="1" applyBorder="1" applyAlignment="1">
      <alignment horizontal="center" vertical="center" wrapText="1"/>
    </xf>
    <xf numFmtId="174" fontId="85" fillId="0" borderId="23" xfId="634" applyFont="1" applyFill="1" applyBorder="1" applyAlignment="1">
      <alignment horizontal="center" vertical="center" wrapText="1"/>
    </xf>
    <xf numFmtId="174" fontId="85" fillId="0" borderId="16" xfId="634" applyFont="1" applyFill="1" applyBorder="1" applyAlignment="1">
      <alignment horizontal="center" vertical="center" wrapText="1"/>
    </xf>
    <xf numFmtId="174" fontId="129" fillId="27" borderId="0" xfId="0" applyFont="1" applyFill="1" applyBorder="1" applyAlignment="1">
      <alignment horizontal="center" vertical="center" wrapText="1"/>
    </xf>
    <xf numFmtId="174" fontId="56" fillId="0" borderId="0" xfId="0" applyNumberFormat="1" applyFont="1" applyBorder="1" applyAlignment="1">
      <alignment horizontal="left" vertical="center" wrapText="1"/>
    </xf>
    <xf numFmtId="43" fontId="72" fillId="0" borderId="15" xfId="0" applyNumberFormat="1" applyFont="1" applyFill="1" applyBorder="1" applyAlignment="1">
      <alignment horizontal="center" vertical="center" wrapText="1"/>
    </xf>
    <xf numFmtId="43" fontId="72" fillId="0" borderId="23" xfId="0" applyNumberFormat="1" applyFont="1" applyFill="1" applyBorder="1" applyAlignment="1">
      <alignment horizontal="center" vertical="center" wrapText="1"/>
    </xf>
    <xf numFmtId="43" fontId="72" fillId="0" borderId="16" xfId="0" applyNumberFormat="1" applyFont="1" applyFill="1" applyBorder="1" applyAlignment="1">
      <alignment horizontal="center" vertical="center" wrapText="1"/>
    </xf>
    <xf numFmtId="43" fontId="92" fillId="27" borderId="0" xfId="324" applyNumberFormat="1" applyFont="1" applyFill="1" applyBorder="1" applyAlignment="1">
      <alignment horizontal="center" vertical="center" wrapText="1"/>
    </xf>
    <xf numFmtId="43" fontId="85" fillId="27" borderId="21" xfId="0" applyNumberFormat="1" applyFont="1" applyFill="1" applyBorder="1" applyAlignment="1">
      <alignment horizontal="center" vertical="center"/>
    </xf>
    <xf numFmtId="43" fontId="85" fillId="27" borderId="12" xfId="0" applyNumberFormat="1" applyFont="1" applyFill="1" applyBorder="1" applyAlignment="1">
      <alignment horizontal="center" vertical="center"/>
    </xf>
    <xf numFmtId="43" fontId="85" fillId="27" borderId="25" xfId="0" applyNumberFormat="1" applyFont="1" applyFill="1" applyBorder="1" applyAlignment="1">
      <alignment horizontal="center" vertical="center"/>
    </xf>
    <xf numFmtId="182" fontId="118" fillId="27" borderId="0" xfId="1095" applyFont="1" applyFill="1" applyBorder="1" applyAlignment="1">
      <alignment horizontal="center" vertical="center" wrapText="1"/>
    </xf>
    <xf numFmtId="182" fontId="64" fillId="0" borderId="12" xfId="1095" applyFont="1" applyFill="1" applyBorder="1" applyAlignment="1">
      <alignment horizontal="left" vertical="top" wrapText="1"/>
    </xf>
    <xf numFmtId="182" fontId="64" fillId="0" borderId="0" xfId="1095" applyFont="1" applyFill="1" applyBorder="1" applyAlignment="1">
      <alignment horizontal="left" vertical="top" wrapText="1"/>
    </xf>
    <xf numFmtId="174" fontId="101" fillId="0" borderId="0" xfId="0" applyFont="1" applyAlignment="1">
      <alignment horizontal="left" vertical="top" wrapText="1"/>
    </xf>
    <xf numFmtId="174" fontId="70" fillId="0" borderId="0" xfId="0" applyFont="1" applyAlignment="1">
      <alignment horizontal="left" vertical="top" wrapText="1"/>
    </xf>
    <xf numFmtId="0" fontId="89" fillId="27" borderId="0" xfId="0" applyNumberFormat="1" applyFont="1" applyFill="1" applyBorder="1" applyAlignment="1">
      <alignment horizontal="center" vertical="center" wrapText="1"/>
    </xf>
    <xf numFmtId="0" fontId="89" fillId="27" borderId="0" xfId="0" applyNumberFormat="1" applyFont="1" applyFill="1" applyBorder="1" applyAlignment="1">
      <alignment horizontal="center" vertical="center"/>
    </xf>
    <xf numFmtId="174" fontId="101" fillId="27" borderId="0" xfId="0" applyFont="1" applyFill="1" applyAlignment="1">
      <alignment horizontal="left" vertical="top" wrapText="1"/>
    </xf>
    <xf numFmtId="174" fontId="0" fillId="27" borderId="0" xfId="0" applyFont="1" applyFill="1" applyAlignment="1">
      <alignment horizontal="left" vertical="top"/>
    </xf>
    <xf numFmtId="174" fontId="85" fillId="27" borderId="15" xfId="0" applyNumberFormat="1" applyFont="1" applyFill="1" applyBorder="1" applyAlignment="1">
      <alignment horizontal="center" vertical="center"/>
    </xf>
    <xf numFmtId="174" fontId="29" fillId="0" borderId="0" xfId="0" applyFont="1" applyBorder="1" applyAlignment="1">
      <alignment horizontal="center"/>
    </xf>
    <xf numFmtId="174" fontId="110" fillId="0" borderId="0" xfId="0" applyFont="1" applyBorder="1" applyAlignment="1">
      <alignment horizontal="center" vertical="center"/>
    </xf>
    <xf numFmtId="174" fontId="115" fillId="27" borderId="0" xfId="0" applyFont="1" applyFill="1" applyBorder="1" applyAlignment="1">
      <alignment horizontal="center" vertical="center" wrapText="1"/>
    </xf>
    <xf numFmtId="174" fontId="72" fillId="0" borderId="0" xfId="0" applyFont="1" applyFill="1" applyBorder="1" applyAlignment="1">
      <alignment horizontal="center" vertical="center" wrapText="1"/>
    </xf>
    <xf numFmtId="174" fontId="72" fillId="0" borderId="24" xfId="0" applyFont="1" applyFill="1" applyBorder="1" applyAlignment="1">
      <alignment horizontal="center" vertical="center" wrapText="1"/>
    </xf>
    <xf numFmtId="49" fontId="89" fillId="27" borderId="0" xfId="0" applyNumberFormat="1" applyFont="1" applyFill="1" applyBorder="1" applyAlignment="1">
      <alignment horizontal="center" vertical="center" wrapText="1"/>
    </xf>
    <xf numFmtId="49" fontId="92" fillId="27" borderId="0" xfId="0" applyNumberFormat="1" applyFont="1" applyFill="1" applyBorder="1" applyAlignment="1">
      <alignment horizontal="center" vertical="center" wrapText="1"/>
    </xf>
    <xf numFmtId="49" fontId="71" fillId="27" borderId="21" xfId="0" applyNumberFormat="1" applyFont="1" applyFill="1" applyBorder="1" applyAlignment="1">
      <alignment horizontal="left"/>
    </xf>
    <xf numFmtId="49" fontId="71" fillId="27" borderId="12" xfId="0" applyNumberFormat="1" applyFont="1" applyFill="1" applyBorder="1" applyAlignment="1">
      <alignment horizontal="left"/>
    </xf>
    <xf numFmtId="174" fontId="59" fillId="0" borderId="20" xfId="0" applyFont="1" applyFill="1" applyBorder="1" applyAlignment="1">
      <alignment horizontal="center" vertical="center" wrapText="1"/>
    </xf>
    <xf numFmtId="174" fontId="59" fillId="0" borderId="0" xfId="0" applyFont="1" applyFill="1" applyBorder="1" applyAlignment="1">
      <alignment horizontal="center" vertical="center" wrapText="1"/>
    </xf>
    <xf numFmtId="174" fontId="59" fillId="0" borderId="24" xfId="0" applyFont="1" applyFill="1" applyBorder="1" applyAlignment="1">
      <alignment horizontal="center" vertical="center" wrapText="1"/>
    </xf>
    <xf numFmtId="49" fontId="63" fillId="27" borderId="0" xfId="0" applyNumberFormat="1" applyFont="1" applyFill="1" applyBorder="1" applyAlignment="1">
      <alignment horizontal="center" vertical="center" wrapText="1"/>
    </xf>
    <xf numFmtId="174" fontId="0" fillId="0" borderId="0" xfId="0" applyFont="1" applyBorder="1" applyAlignment="1">
      <alignment horizontal="left" vertical="center" wrapText="1"/>
    </xf>
    <xf numFmtId="174" fontId="85" fillId="0" borderId="20" xfId="0" applyFont="1" applyFill="1" applyBorder="1" applyAlignment="1">
      <alignment horizontal="center" vertical="center" wrapText="1"/>
    </xf>
    <xf numFmtId="174" fontId="85" fillId="0" borderId="0" xfId="0" applyFont="1" applyFill="1" applyBorder="1" applyAlignment="1">
      <alignment horizontal="center" vertical="center" wrapText="1"/>
    </xf>
    <xf numFmtId="49" fontId="71" fillId="0" borderId="0" xfId="0" applyNumberFormat="1" applyFont="1" applyFill="1" applyBorder="1" applyAlignment="1">
      <alignment horizontal="center" vertical="center" wrapText="1"/>
    </xf>
    <xf numFmtId="49" fontId="82" fillId="27" borderId="0" xfId="0" applyNumberFormat="1" applyFont="1" applyFill="1" applyBorder="1" applyAlignment="1">
      <alignment horizontal="center" vertical="center" wrapText="1"/>
    </xf>
    <xf numFmtId="0" fontId="89" fillId="27" borderId="13" xfId="438" applyFont="1" applyFill="1" applyBorder="1" applyAlignment="1">
      <alignment horizontal="center" vertical="center" wrapText="1"/>
    </xf>
    <xf numFmtId="0" fontId="54" fillId="0" borderId="0" xfId="920" applyFont="1" applyAlignment="1">
      <alignment horizontal="center"/>
    </xf>
    <xf numFmtId="0" fontId="90" fillId="27" borderId="13" xfId="438" applyFont="1" applyFill="1" applyBorder="1" applyAlignment="1">
      <alignment horizontal="center" vertical="center" wrapText="1"/>
    </xf>
    <xf numFmtId="0" fontId="88" fillId="27" borderId="15" xfId="438" applyFont="1" applyFill="1" applyBorder="1" applyAlignment="1">
      <alignment horizontal="center" vertical="center" wrapText="1"/>
    </xf>
    <xf numFmtId="0" fontId="88" fillId="27" borderId="23" xfId="438" applyFont="1" applyFill="1" applyBorder="1" applyAlignment="1">
      <alignment horizontal="center" vertical="center" wrapText="1"/>
    </xf>
    <xf numFmtId="0" fontId="88" fillId="27" borderId="16" xfId="438" applyFont="1" applyFill="1" applyBorder="1" applyAlignment="1">
      <alignment horizontal="center" vertical="center" wrapText="1"/>
    </xf>
    <xf numFmtId="0" fontId="89" fillId="27" borderId="15" xfId="438" applyFont="1" applyFill="1" applyBorder="1" applyAlignment="1">
      <alignment horizontal="center" vertical="center" wrapText="1"/>
    </xf>
    <xf numFmtId="0" fontId="89" fillId="27" borderId="23" xfId="438" applyFont="1" applyFill="1" applyBorder="1" applyAlignment="1">
      <alignment horizontal="center" vertical="center" wrapText="1"/>
    </xf>
    <xf numFmtId="0" fontId="65" fillId="27" borderId="15" xfId="794" applyFont="1" applyFill="1" applyBorder="1" applyAlignment="1">
      <alignment horizontal="center" vertical="center" wrapText="1"/>
    </xf>
    <xf numFmtId="0" fontId="65" fillId="27" borderId="16" xfId="794" applyFont="1" applyFill="1" applyBorder="1" applyAlignment="1">
      <alignment horizontal="center" vertical="center" wrapText="1"/>
    </xf>
    <xf numFmtId="174" fontId="63"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89" fillId="27" borderId="0" xfId="0" applyNumberFormat="1" applyFont="1" applyFill="1" applyBorder="1" applyAlignment="1">
      <alignment horizontal="center" vertical="center" wrapText="1"/>
    </xf>
    <xf numFmtId="174" fontId="57" fillId="27" borderId="0" xfId="0" applyNumberFormat="1" applyFont="1" applyFill="1" applyBorder="1" applyAlignment="1">
      <alignment horizontal="center" vertical="center" wrapText="1"/>
    </xf>
    <xf numFmtId="174" fontId="32" fillId="27" borderId="0" xfId="389" applyFont="1" applyFill="1" applyBorder="1" applyAlignment="1">
      <alignment horizontal="left" vertical="center" wrapText="1"/>
    </xf>
    <xf numFmtId="174" fontId="90"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71" fillId="0" borderId="0" xfId="0" applyFont="1" applyBorder="1" applyAlignment="1">
      <alignment horizontal="left" vertical="top" wrapText="1"/>
    </xf>
    <xf numFmtId="174" fontId="71" fillId="0" borderId="0" xfId="0" applyFont="1" applyAlignment="1">
      <alignment horizontal="left" vertical="top" wrapText="1"/>
    </xf>
    <xf numFmtId="174" fontId="0" fillId="0" borderId="0" xfId="0" applyAlignment="1">
      <alignment horizontal="center"/>
    </xf>
    <xf numFmtId="174" fontId="105"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71" fillId="0" borderId="0" xfId="0" applyFont="1" applyAlignment="1">
      <alignment horizontal="left" vertical="center" wrapText="1"/>
    </xf>
    <xf numFmtId="174" fontId="106" fillId="0" borderId="0" xfId="0" applyFont="1" applyAlignment="1">
      <alignment horizontal="center" wrapText="1"/>
    </xf>
    <xf numFmtId="174" fontId="8" fillId="0" borderId="0" xfId="0" applyFont="1" applyBorder="1" applyAlignment="1">
      <alignment horizontal="left" vertical="center" wrapText="1"/>
    </xf>
    <xf numFmtId="174" fontId="71" fillId="0" borderId="0" xfId="0" applyFont="1" applyBorder="1" applyAlignment="1">
      <alignment horizontal="left" vertical="center" wrapText="1"/>
    </xf>
  </cellXfs>
  <cellStyles count="1106">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9"/>
    <cellStyle name="Comma 2 4" xfId="255"/>
    <cellStyle name="Comma 2 4 2" xfId="256"/>
    <cellStyle name="Comma 2 4 3" xfId="257"/>
    <cellStyle name="Comma 2 4 4" xfId="258"/>
    <cellStyle name="Comma 2 4 5" xfId="259"/>
    <cellStyle name="Comma 2 4 6" xfId="660"/>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1"/>
    <cellStyle name="Comma 4" xfId="280"/>
    <cellStyle name="Comma 5" xfId="281"/>
    <cellStyle name="Comma 5 2" xfId="662"/>
    <cellStyle name="Comma 6" xfId="282"/>
    <cellStyle name="Comma 7" xfId="283"/>
    <cellStyle name="Comma 8" xfId="284"/>
    <cellStyle name="Comma 9" xfId="285"/>
    <cellStyle name="Currency 2 2" xfId="663"/>
    <cellStyle name="Currency 2 3" xfId="664"/>
    <cellStyle name="Currency 2 4" xfId="665"/>
    <cellStyle name="Currency 2 5" xfId="666"/>
    <cellStyle name="Currency_CI-Prov" xfId="667"/>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1"/>
    <cellStyle name="Euro 3" xfId="668"/>
    <cellStyle name="Euro 4" xfId="669"/>
    <cellStyle name="Euro 4 2" xfId="1043"/>
    <cellStyle name="Euro 5" xfId="1097"/>
    <cellStyle name="Explanatory Text" xfId="304"/>
    <cellStyle name="Explanatory Text 2" xfId="305"/>
    <cellStyle name="Followed Hyperlink" xfId="670"/>
    <cellStyle name="Followed Hyperlink 2" xfId="671"/>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316" builtinId="8"/>
    <cellStyle name="Hipervínculo 2" xfId="317"/>
    <cellStyle name="Hyperlink" xfId="672"/>
    <cellStyle name="Hyperlink 2" xfId="673"/>
    <cellStyle name="Incorrecto 2" xfId="318"/>
    <cellStyle name="Incorrecto 2 2" xfId="319"/>
    <cellStyle name="Input" xfId="320"/>
    <cellStyle name="Input 2" xfId="321"/>
    <cellStyle name="Linked Cell" xfId="322"/>
    <cellStyle name="Linked Cell 2" xfId="323"/>
    <cellStyle name="Millares" xfId="324" builtinId="3"/>
    <cellStyle name="Millares 10" xfId="674"/>
    <cellStyle name="Millares 10 2" xfId="608"/>
    <cellStyle name="Millares 10 2 2" xfId="675"/>
    <cellStyle name="Millares 10 2 2 2" xfId="676"/>
    <cellStyle name="Millares 10 2 2 2 2" xfId="677"/>
    <cellStyle name="Millares 10 2 2 3" xfId="678"/>
    <cellStyle name="Millares 10 2 3" xfId="679"/>
    <cellStyle name="Millares 10 2 3 2" xfId="680"/>
    <cellStyle name="Millares 10 2 4" xfId="681"/>
    <cellStyle name="Millares 10 2 5" xfId="682"/>
    <cellStyle name="Millares 10 3" xfId="683"/>
    <cellStyle name="Millares 11" xfId="684"/>
    <cellStyle name="Millares 11 2" xfId="685"/>
    <cellStyle name="Millares 11 3" xfId="686"/>
    <cellStyle name="Millares 11 4" xfId="687"/>
    <cellStyle name="Millares 11 5" xfId="688"/>
    <cellStyle name="Millares 11 6" xfId="689"/>
    <cellStyle name="Millares 11 7" xfId="690"/>
    <cellStyle name="Millares 11 8" xfId="691"/>
    <cellStyle name="Millares 11 9" xfId="692"/>
    <cellStyle name="Millares 12" xfId="693"/>
    <cellStyle name="Millares 12 2" xfId="1044"/>
    <cellStyle name="Millares 13" xfId="694"/>
    <cellStyle name="Millares 13 10" xfId="1045"/>
    <cellStyle name="Millares 13 12" xfId="695"/>
    <cellStyle name="Millares 13 13" xfId="696"/>
    <cellStyle name="Millares 13 2" xfId="697"/>
    <cellStyle name="Millares 13 2 2" xfId="698"/>
    <cellStyle name="Millares 13 2 2 2" xfId="699"/>
    <cellStyle name="Millares 13 2 3" xfId="700"/>
    <cellStyle name="Millares 13 3" xfId="701"/>
    <cellStyle name="Millares 13 3 2" xfId="702"/>
    <cellStyle name="Millares 13 4" xfId="703"/>
    <cellStyle name="Millares 13 5" xfId="704"/>
    <cellStyle name="Millares 13 6" xfId="705"/>
    <cellStyle name="Millares 13 7" xfId="706"/>
    <cellStyle name="Millares 13 8" xfId="707"/>
    <cellStyle name="Millares 13 9" xfId="708"/>
    <cellStyle name="Millares 14" xfId="709"/>
    <cellStyle name="Millares 14 2" xfId="1046"/>
    <cellStyle name="Millares 15" xfId="325"/>
    <cellStyle name="Millares 16" xfId="710"/>
    <cellStyle name="Millares 16 2" xfId="1047"/>
    <cellStyle name="Millares 17" xfId="1048"/>
    <cellStyle name="Millares 18" xfId="1091"/>
    <cellStyle name="Millares 18 2" xfId="1098"/>
    <cellStyle name="Millares 2" xfId="326"/>
    <cellStyle name="Millares 2 10" xfId="711"/>
    <cellStyle name="Millares 2 2" xfId="327"/>
    <cellStyle name="Millares 2 2 2" xfId="712"/>
    <cellStyle name="Millares 2 2 3" xfId="713"/>
    <cellStyle name="Millares 2 3" xfId="328"/>
    <cellStyle name="Millares 2 3 2" xfId="714"/>
    <cellStyle name="Millares 2 4" xfId="329"/>
    <cellStyle name="Millares 2 4 2" xfId="330"/>
    <cellStyle name="Millares 2 5" xfId="331"/>
    <cellStyle name="Millares 2 6" xfId="332"/>
    <cellStyle name="Millares 2 7" xfId="333"/>
    <cellStyle name="Millares 2 8" xfId="334"/>
    <cellStyle name="Millares 2 9" xfId="335"/>
    <cellStyle name="Millares 3" xfId="336"/>
    <cellStyle name="Millares 3 2" xfId="715"/>
    <cellStyle name="Millares 3 3" xfId="716"/>
    <cellStyle name="Millares 3 4" xfId="717"/>
    <cellStyle name="Millares 3 5" xfId="718"/>
    <cellStyle name="Millares 3 6" xfId="719"/>
    <cellStyle name="Millares 3 7" xfId="720"/>
    <cellStyle name="Millares 3 8" xfId="721"/>
    <cellStyle name="Millares 4" xfId="337"/>
    <cellStyle name="Millares 4 2" xfId="722"/>
    <cellStyle name="Millares 5" xfId="338"/>
    <cellStyle name="Millares 5 2" xfId="339"/>
    <cellStyle name="Millares 6" xfId="340"/>
    <cellStyle name="Millares 6 2" xfId="585"/>
    <cellStyle name="Millares 6 3" xfId="723"/>
    <cellStyle name="Millares 6 4" xfId="724"/>
    <cellStyle name="Millares 6 5" xfId="725"/>
    <cellStyle name="Millares 6 6" xfId="726"/>
    <cellStyle name="Millares 6 7" xfId="727"/>
    <cellStyle name="Millares 7" xfId="341"/>
    <cellStyle name="Millares 7 2" xfId="342"/>
    <cellStyle name="Millares 7 2 2" xfId="728"/>
    <cellStyle name="Millares 7 3" xfId="729"/>
    <cellStyle name="Millares 7 4" xfId="730"/>
    <cellStyle name="Millares 7 5" xfId="731"/>
    <cellStyle name="Millares 7 6" xfId="732"/>
    <cellStyle name="Millares 7 7" xfId="733"/>
    <cellStyle name="Millares 7 8" xfId="734"/>
    <cellStyle name="Millares 8" xfId="343"/>
    <cellStyle name="Millares 8 2" xfId="735"/>
    <cellStyle name="Millares 9" xfId="628"/>
    <cellStyle name="Millares 9 2" xfId="736"/>
    <cellStyle name="Millares 9 2 2" xfId="737"/>
    <cellStyle name="Moneda 2" xfId="344"/>
    <cellStyle name="Moneda 2 2" xfId="583"/>
    <cellStyle name="Neutral 2" xfId="345"/>
    <cellStyle name="Neutral 2 2" xfId="346"/>
    <cellStyle name="Normal" xfId="0" builtinId="0"/>
    <cellStyle name="Normal 10" xfId="347"/>
    <cellStyle name="Normal 10 2" xfId="348"/>
    <cellStyle name="Normal 10 2 2" xfId="349"/>
    <cellStyle name="Normal 10 2 2 2" xfId="601"/>
    <cellStyle name="Normal 10 2 2 2 2" xfId="1049"/>
    <cellStyle name="Normal 10 2 3" xfId="632"/>
    <cellStyle name="Normal 10 3" xfId="350"/>
    <cellStyle name="Normal 10 3 2" xfId="351"/>
    <cellStyle name="Normal 10 4" xfId="352"/>
    <cellStyle name="Normal 10 5" xfId="738"/>
    <cellStyle name="Normal 100" xfId="739"/>
    <cellStyle name="Normal 101" xfId="740"/>
    <cellStyle name="Normal 101 2" xfId="1050"/>
    <cellStyle name="Normal 102" xfId="741"/>
    <cellStyle name="Normal 102 2" xfId="1051"/>
    <cellStyle name="Normal 103" xfId="742"/>
    <cellStyle name="Normal 103 2" xfId="1052"/>
    <cellStyle name="Normal 104" xfId="743"/>
    <cellStyle name="Normal 104 2" xfId="1053"/>
    <cellStyle name="Normal 105" xfId="744"/>
    <cellStyle name="Normal 106" xfId="745"/>
    <cellStyle name="Normal 107" xfId="746"/>
    <cellStyle name="Normal 107 2" xfId="1054"/>
    <cellStyle name="Normal 108" xfId="1055"/>
    <cellStyle name="Normal 109" xfId="1056"/>
    <cellStyle name="Normal 11" xfId="353"/>
    <cellStyle name="Normal 11 2" xfId="354"/>
    <cellStyle name="Normal 11 2 2" xfId="355"/>
    <cellStyle name="Normal 11 2 2 2" xfId="747"/>
    <cellStyle name="Normal 11 2 2 2 2" xfId="748"/>
    <cellStyle name="Normal 11 2 2 3" xfId="749"/>
    <cellStyle name="Normal 11 2 3" xfId="750"/>
    <cellStyle name="Normal 11 2 3 2" xfId="751"/>
    <cellStyle name="Normal 11 2 4" xfId="752"/>
    <cellStyle name="Normal 11 3" xfId="356"/>
    <cellStyle name="Normal 11 3 2" xfId="753"/>
    <cellStyle name="Normal 11 3 2 2" xfId="754"/>
    <cellStyle name="Normal 11 3 2 2 2" xfId="755"/>
    <cellStyle name="Normal 11 3 2 3" xfId="756"/>
    <cellStyle name="Normal 11 3 3" xfId="757"/>
    <cellStyle name="Normal 11 3 3 2" xfId="758"/>
    <cellStyle name="Normal 11 3 4" xfId="759"/>
    <cellStyle name="Normal 11 4" xfId="760"/>
    <cellStyle name="Normal 11 4 2" xfId="761"/>
    <cellStyle name="Normal 11 4 2 2" xfId="762"/>
    <cellStyle name="Normal 11 4 3" xfId="763"/>
    <cellStyle name="Normal 11 5" xfId="764"/>
    <cellStyle name="Normal 11 5 2" xfId="765"/>
    <cellStyle name="Normal 11 6" xfId="766"/>
    <cellStyle name="Normal 110" xfId="1057"/>
    <cellStyle name="Normal 111" xfId="1058"/>
    <cellStyle name="Normal 112" xfId="1059"/>
    <cellStyle name="Normal 112 2" xfId="1100"/>
    <cellStyle name="Normal 113" xfId="1060"/>
    <cellStyle name="Normal 113 2" xfId="1104"/>
    <cellStyle name="Normal 114" xfId="1090"/>
    <cellStyle name="Normal 114 2" xfId="1102"/>
    <cellStyle name="Normal 115" xfId="1095"/>
    <cellStyle name="Normal 116" xfId="1096"/>
    <cellStyle name="Normal 117" xfId="1101"/>
    <cellStyle name="Normal 118" xfId="1103"/>
    <cellStyle name="Normal 119" xfId="1105"/>
    <cellStyle name="Normal 12" xfId="357"/>
    <cellStyle name="Normal 12 2" xfId="358"/>
    <cellStyle name="Normal 12 2 2" xfId="359"/>
    <cellStyle name="Normal 12 2 2 2" xfId="767"/>
    <cellStyle name="Normal 12 2 3" xfId="768"/>
    <cellStyle name="Normal 12 3" xfId="360"/>
    <cellStyle name="Normal 12 3 2" xfId="769"/>
    <cellStyle name="Normal 12 4" xfId="770"/>
    <cellStyle name="Normal 13" xfId="361"/>
    <cellStyle name="Normal 13 2" xfId="362"/>
    <cellStyle name="Normal 13 2 2" xfId="363"/>
    <cellStyle name="Normal 13 2 2 2" xfId="771"/>
    <cellStyle name="Normal 13 2 3" xfId="772"/>
    <cellStyle name="Normal 13 2 4" xfId="773"/>
    <cellStyle name="Normal 13 3" xfId="364"/>
    <cellStyle name="Normal 13 3 2" xfId="774"/>
    <cellStyle name="Normal 13 4" xfId="775"/>
    <cellStyle name="Normal 13 5" xfId="776"/>
    <cellStyle name="Normal 13 6" xfId="777"/>
    <cellStyle name="Normal 13 7" xfId="778"/>
    <cellStyle name="Normal 13 8" xfId="779"/>
    <cellStyle name="Normal 14" xfId="365"/>
    <cellStyle name="Normal 14 2" xfId="366"/>
    <cellStyle name="Normal 14 2 2" xfId="367"/>
    <cellStyle name="Normal 14 2 2 2" xfId="780"/>
    <cellStyle name="Normal 14 2 3" xfId="781"/>
    <cellStyle name="Normal 14 3" xfId="368"/>
    <cellStyle name="Normal 14 3 2" xfId="782"/>
    <cellStyle name="Normal 14 4" xfId="783"/>
    <cellStyle name="Normal 15" xfId="369"/>
    <cellStyle name="Normal 15 2" xfId="370"/>
    <cellStyle name="Normal 15 2 2" xfId="371"/>
    <cellStyle name="Normal 15 2 2 2" xfId="784"/>
    <cellStyle name="Normal 15 2 3" xfId="785"/>
    <cellStyle name="Normal 15 3" xfId="372"/>
    <cellStyle name="Normal 15 3 2" xfId="786"/>
    <cellStyle name="Normal 15 4" xfId="787"/>
    <cellStyle name="Normal 16" xfId="373"/>
    <cellStyle name="Normal 16 2" xfId="374"/>
    <cellStyle name="Normal 16 2 2" xfId="375"/>
    <cellStyle name="Normal 16 2 2 2" xfId="788"/>
    <cellStyle name="Normal 16 2 3" xfId="789"/>
    <cellStyle name="Normal 16 3" xfId="376"/>
    <cellStyle name="Normal 16 3 2" xfId="790"/>
    <cellStyle name="Normal 16 4" xfId="791"/>
    <cellStyle name="Normal 17" xfId="377"/>
    <cellStyle name="Normal 17 2" xfId="378"/>
    <cellStyle name="Normal 17 2 2" xfId="379"/>
    <cellStyle name="Normal 17 3" xfId="380"/>
    <cellStyle name="Normal 18" xfId="381"/>
    <cellStyle name="Normal 18 2" xfId="382"/>
    <cellStyle name="Normal 18 2 2" xfId="383"/>
    <cellStyle name="Normal 18 3" xfId="384"/>
    <cellStyle name="Normal 18 4" xfId="792"/>
    <cellStyle name="Normal 18 5" xfId="793"/>
    <cellStyle name="Normal 19" xfId="385"/>
    <cellStyle name="Normal 19 2" xfId="386"/>
    <cellStyle name="Normal 19 2 2" xfId="387"/>
    <cellStyle name="Normal 19 3" xfId="388"/>
    <cellStyle name="Normal 2" xfId="389"/>
    <cellStyle name="Normal 2 10" xfId="390"/>
    <cellStyle name="Normal 2 11" xfId="391"/>
    <cellStyle name="Normal 2 12" xfId="392"/>
    <cellStyle name="Normal 2 12 2" xfId="599"/>
    <cellStyle name="Normal 2 13" xfId="393"/>
    <cellStyle name="Normal 2 14" xfId="394"/>
    <cellStyle name="Normal 2 15" xfId="612"/>
    <cellStyle name="Normal 2 15 2" xfId="794"/>
    <cellStyle name="Normal 2 16" xfId="615"/>
    <cellStyle name="Normal 2 16 2" xfId="1061"/>
    <cellStyle name="Normal 2 16 3" xfId="1062"/>
    <cellStyle name="Normal 2 16 4" xfId="1063"/>
    <cellStyle name="Normal 2 2" xfId="395"/>
    <cellStyle name="Normal 2 2 10" xfId="396"/>
    <cellStyle name="Normal 2 2 11" xfId="397"/>
    <cellStyle name="Normal 2 2 12" xfId="398"/>
    <cellStyle name="Normal 2 2 2" xfId="399"/>
    <cellStyle name="Normal 2 2 2 2" xfId="400"/>
    <cellStyle name="Normal 2 2 3" xfId="401"/>
    <cellStyle name="Normal 2 2 3 2" xfId="402"/>
    <cellStyle name="Normal 2 2 4" xfId="403"/>
    <cellStyle name="Normal 2 2 4 2" xfId="404"/>
    <cellStyle name="Normal 2 2 5" xfId="405"/>
    <cellStyle name="Normal 2 2 5 2" xfId="406"/>
    <cellStyle name="Normal 2 2 6" xfId="407"/>
    <cellStyle name="Normal 2 2 6 2" xfId="408"/>
    <cellStyle name="Normal 2 2 7" xfId="409"/>
    <cellStyle name="Normal 2 2 8" xfId="410"/>
    <cellStyle name="Normal 2 2 9" xfId="411"/>
    <cellStyle name="Normal 2 2_6a" xfId="412"/>
    <cellStyle name="Normal 2 3" xfId="413"/>
    <cellStyle name="Normal 2 3 2" xfId="414"/>
    <cellStyle name="Normal 2 3 3" xfId="415"/>
    <cellStyle name="Normal 2 3 4" xfId="416"/>
    <cellStyle name="Normal 2 3 5" xfId="417"/>
    <cellStyle name="Normal 2 3_6a" xfId="418"/>
    <cellStyle name="Normal 2 4" xfId="419"/>
    <cellStyle name="Normal 2 4 2" xfId="420"/>
    <cellStyle name="Normal 2 4 2 2" xfId="795"/>
    <cellStyle name="Normal 2 4 3" xfId="421"/>
    <cellStyle name="Normal 2 4 4" xfId="422"/>
    <cellStyle name="Normal 2 4 5" xfId="423"/>
    <cellStyle name="Normal 2 5" xfId="424"/>
    <cellStyle name="Normal 2 5 2" xfId="425"/>
    <cellStyle name="Normal 2 5 3" xfId="426"/>
    <cellStyle name="Normal 2 5 4" xfId="427"/>
    <cellStyle name="Normal 2 5 5" xfId="428"/>
    <cellStyle name="Normal 2 6" xfId="429"/>
    <cellStyle name="Normal 2 6 2" xfId="430"/>
    <cellStyle name="Normal 2 7" xfId="431"/>
    <cellStyle name="Normal 2 8" xfId="432"/>
    <cellStyle name="Normal 2 9" xfId="433"/>
    <cellStyle name="Normal 2_6a" xfId="434"/>
    <cellStyle name="Normal 20" xfId="435"/>
    <cellStyle name="Normal 20 2" xfId="436"/>
    <cellStyle name="Normal 20 2 2" xfId="437"/>
    <cellStyle name="Normal 20 3" xfId="438"/>
    <cellStyle name="Normal 20 4" xfId="796"/>
    <cellStyle name="Normal 20 5" xfId="797"/>
    <cellStyle name="Normal 21" xfId="439"/>
    <cellStyle name="Normal 21 2" xfId="440"/>
    <cellStyle name="Normal 21 2 2" xfId="441"/>
    <cellStyle name="Normal 21 3" xfId="442"/>
    <cellStyle name="Normal 22" xfId="443"/>
    <cellStyle name="Normal 22 2" xfId="444"/>
    <cellStyle name="Normal 22 2 2" xfId="798"/>
    <cellStyle name="Normal 22 3" xfId="633"/>
    <cellStyle name="Normal 23" xfId="445"/>
    <cellStyle name="Normal 23 2" xfId="446"/>
    <cellStyle name="Normal 23 2 2" xfId="799"/>
    <cellStyle name="Normal 23 3" xfId="800"/>
    <cellStyle name="Normal 23 4" xfId="801"/>
    <cellStyle name="Normal 23 5" xfId="802"/>
    <cellStyle name="Normal 23 6" xfId="1064"/>
    <cellStyle name="Normal 24" xfId="447"/>
    <cellStyle name="Normal 24 2" xfId="448"/>
    <cellStyle name="Normal 24 3" xfId="803"/>
    <cellStyle name="Normal 25" xfId="449"/>
    <cellStyle name="Normal 25 2" xfId="450"/>
    <cellStyle name="Normal 25 3" xfId="653"/>
    <cellStyle name="Normal 26" xfId="451"/>
    <cellStyle name="Normal 26 2" xfId="452"/>
    <cellStyle name="Normal 26 3" xfId="634"/>
    <cellStyle name="Normal 27" xfId="453"/>
    <cellStyle name="Normal 27 2" xfId="586"/>
    <cellStyle name="Normal 28" xfId="454"/>
    <cellStyle name="Normal 28 2" xfId="587"/>
    <cellStyle name="Normal 29" xfId="455"/>
    <cellStyle name="Normal 29 2" xfId="588"/>
    <cellStyle name="Normal 29 3" xfId="804"/>
    <cellStyle name="Normal 3" xfId="456"/>
    <cellStyle name="Normal 3 2" xfId="457"/>
    <cellStyle name="Normal 3 2 2" xfId="458"/>
    <cellStyle name="Normal 3 3" xfId="459"/>
    <cellStyle name="Normal 3 3 2" xfId="460"/>
    <cellStyle name="Normal 3 3 2 2" xfId="461"/>
    <cellStyle name="Normal 3 3 3" xfId="462"/>
    <cellStyle name="Normal 3 4" xfId="463"/>
    <cellStyle name="Normal 3 4 2" xfId="464"/>
    <cellStyle name="Normal 3 5" xfId="465"/>
    <cellStyle name="Normal 3 6" xfId="466"/>
    <cellStyle name="Normal 3 7" xfId="467"/>
    <cellStyle name="Normal 3 8" xfId="468"/>
    <cellStyle name="Normal 3_6a" xfId="469"/>
    <cellStyle name="Normal 30" xfId="470"/>
    <cellStyle name="Normal 30 2" xfId="589"/>
    <cellStyle name="Normal 31" xfId="471"/>
    <cellStyle name="Normal 31 2" xfId="590"/>
    <cellStyle name="Normal 32" xfId="472"/>
    <cellStyle name="Normal 32 2" xfId="591"/>
    <cellStyle name="Normal 33" xfId="473"/>
    <cellStyle name="Normal 33 2" xfId="592"/>
    <cellStyle name="Normal 34" xfId="474"/>
    <cellStyle name="Normal 34 2" xfId="593"/>
    <cellStyle name="Normal 35" xfId="475"/>
    <cellStyle name="Normal 35 2" xfId="594"/>
    <cellStyle name="Normal 36" xfId="476"/>
    <cellStyle name="Normal 36 2" xfId="595"/>
    <cellStyle name="Normal 37" xfId="477"/>
    <cellStyle name="Normal 37 2" xfId="596"/>
    <cellStyle name="Normal 38" xfId="478"/>
    <cellStyle name="Normal 38 2" xfId="597"/>
    <cellStyle name="Normal 39" xfId="479"/>
    <cellStyle name="Normal 39 2" xfId="598"/>
    <cellStyle name="Normal 39 3" xfId="582"/>
    <cellStyle name="Normal 4" xfId="480"/>
    <cellStyle name="Normal 4 10" xfId="805"/>
    <cellStyle name="Normal 4 11" xfId="806"/>
    <cellStyle name="Normal 4 12" xfId="807"/>
    <cellStyle name="Normal 4 2" xfId="481"/>
    <cellStyle name="Normal 4 2 2" xfId="482"/>
    <cellStyle name="Normal 4 2 2 2" xfId="483"/>
    <cellStyle name="Normal 4 2 2 2 2" xfId="808"/>
    <cellStyle name="Normal 4 2 2 3" xfId="809"/>
    <cellStyle name="Normal 4 2 3" xfId="484"/>
    <cellStyle name="Normal 4 2 3 2" xfId="810"/>
    <cellStyle name="Normal 4 2 4" xfId="811"/>
    <cellStyle name="Normal 4 3" xfId="485"/>
    <cellStyle name="Normal 4 3 2" xfId="812"/>
    <cellStyle name="Normal 4 3 2 2" xfId="813"/>
    <cellStyle name="Normal 4 3 2 2 2" xfId="814"/>
    <cellStyle name="Normal 4 3 2 3" xfId="815"/>
    <cellStyle name="Normal 4 3 3" xfId="816"/>
    <cellStyle name="Normal 4 3 3 2" xfId="817"/>
    <cellStyle name="Normal 4 3 4" xfId="818"/>
    <cellStyle name="Normal 4 4" xfId="486"/>
    <cellStyle name="Normal 4 4 2" xfId="819"/>
    <cellStyle name="Normal 4 4 2 2" xfId="820"/>
    <cellStyle name="Normal 4 4 2 2 2" xfId="821"/>
    <cellStyle name="Normal 4 4 2 3" xfId="822"/>
    <cellStyle name="Normal 4 4 3" xfId="823"/>
    <cellStyle name="Normal 4 4 3 2" xfId="824"/>
    <cellStyle name="Normal 4 4 4" xfId="825"/>
    <cellStyle name="Normal 4 5" xfId="487"/>
    <cellStyle name="Normal 4 5 2" xfId="826"/>
    <cellStyle name="Normal 4 5 2 2" xfId="827"/>
    <cellStyle name="Normal 4 5 2 2 2" xfId="828"/>
    <cellStyle name="Normal 4 5 2 3" xfId="829"/>
    <cellStyle name="Normal 4 5 3" xfId="830"/>
    <cellStyle name="Normal 4 5 3 2" xfId="831"/>
    <cellStyle name="Normal 4 5 4" xfId="832"/>
    <cellStyle name="Normal 4 6" xfId="488"/>
    <cellStyle name="Normal 4 6 2" xfId="833"/>
    <cellStyle name="Normal 4 6 2 2" xfId="834"/>
    <cellStyle name="Normal 4 6 2 2 2" xfId="835"/>
    <cellStyle name="Normal 4 6 2 3" xfId="836"/>
    <cellStyle name="Normal 4 6 3" xfId="837"/>
    <cellStyle name="Normal 4 6 3 2" xfId="838"/>
    <cellStyle name="Normal 4 6 4" xfId="839"/>
    <cellStyle name="Normal 4 7" xfId="840"/>
    <cellStyle name="Normal 4 7 2" xfId="841"/>
    <cellStyle name="Normal 4 7 2 2" xfId="842"/>
    <cellStyle name="Normal 4 7 2 2 2" xfId="843"/>
    <cellStyle name="Normal 4 7 2 3" xfId="844"/>
    <cellStyle name="Normal 4 7 3" xfId="845"/>
    <cellStyle name="Normal 4 7 3 2" xfId="846"/>
    <cellStyle name="Normal 4 7 4" xfId="847"/>
    <cellStyle name="Normal 4 8" xfId="848"/>
    <cellStyle name="Normal 4 8 2" xfId="849"/>
    <cellStyle name="Normal 4 8 2 2" xfId="850"/>
    <cellStyle name="Normal 4 8 3" xfId="851"/>
    <cellStyle name="Normal 4 9" xfId="852"/>
    <cellStyle name="Normal 4 9 2" xfId="853"/>
    <cellStyle name="Normal 4 9 2 2" xfId="854"/>
    <cellStyle name="Normal 4 9 2 2 2" xfId="855"/>
    <cellStyle name="Normal 4 9 3" xfId="856"/>
    <cellStyle name="Normal 40" xfId="489"/>
    <cellStyle name="Normal 40 2" xfId="600"/>
    <cellStyle name="Normal 41" xfId="490"/>
    <cellStyle name="Normal 41 2" xfId="491"/>
    <cellStyle name="Normal 42" xfId="492"/>
    <cellStyle name="Normal 42 2" xfId="857"/>
    <cellStyle name="Normal 43" xfId="580"/>
    <cellStyle name="Normal 43 2" xfId="602"/>
    <cellStyle name="Normal 43 3" xfId="858"/>
    <cellStyle name="Normal 44" xfId="603"/>
    <cellStyle name="Normal 44 2" xfId="859"/>
    <cellStyle name="Normal 45" xfId="605"/>
    <cellStyle name="Normal 45 2" xfId="629"/>
    <cellStyle name="Normal 46" xfId="606"/>
    <cellStyle name="Normal 46 2" xfId="860"/>
    <cellStyle name="Normal 47" xfId="607"/>
    <cellStyle name="Normal 47 2" xfId="861"/>
    <cellStyle name="Normal 48" xfId="609"/>
    <cellStyle name="Normal 48 2" xfId="862"/>
    <cellStyle name="Normal 49" xfId="610"/>
    <cellStyle name="Normal 49 2" xfId="863"/>
    <cellStyle name="Normal 5" xfId="493"/>
    <cellStyle name="Normal 5 10" xfId="494"/>
    <cellStyle name="Normal 5 2" xfId="495"/>
    <cellStyle name="Normal 5 2 2" xfId="496"/>
    <cellStyle name="Normal 5 2 2 2" xfId="497"/>
    <cellStyle name="Normal 5 2 3" xfId="498"/>
    <cellStyle name="Normal 5 3" xfId="499"/>
    <cellStyle name="Normal 5 3 2" xfId="500"/>
    <cellStyle name="Normal 5 4" xfId="501"/>
    <cellStyle name="Normal 5 4 2" xfId="502"/>
    <cellStyle name="Normal 5 5" xfId="503"/>
    <cellStyle name="Normal 5 6" xfId="504"/>
    <cellStyle name="Normal 5 7" xfId="505"/>
    <cellStyle name="Normal 5 7 2" xfId="864"/>
    <cellStyle name="Normal 5 8" xfId="506"/>
    <cellStyle name="Normal 5 8 2" xfId="865"/>
    <cellStyle name="Normal 5 8 2 2" xfId="866"/>
    <cellStyle name="Normal 5 8 3" xfId="867"/>
    <cellStyle name="Normal 5 9" xfId="507"/>
    <cellStyle name="Normal 5 9 2" xfId="868"/>
    <cellStyle name="Normal 50" xfId="611"/>
    <cellStyle name="Normal 50 2" xfId="1065"/>
    <cellStyle name="Normal 51" xfId="613"/>
    <cellStyle name="Normal 51 2" xfId="635"/>
    <cellStyle name="Normal 51 3" xfId="1066"/>
    <cellStyle name="Normal 52" xfId="614"/>
    <cellStyle name="Normal 52 2" xfId="869"/>
    <cellStyle name="Normal 52 3" xfId="1067"/>
    <cellStyle name="Normal 53" xfId="616"/>
    <cellStyle name="Normal 53 2" xfId="1068"/>
    <cellStyle name="Normal 54" xfId="617"/>
    <cellStyle name="Normal 54 2" xfId="1069"/>
    <cellStyle name="Normal 55" xfId="618"/>
    <cellStyle name="Normal 55 2" xfId="1070"/>
    <cellStyle name="Normal 56" xfId="619"/>
    <cellStyle name="Normal 56 2" xfId="1071"/>
    <cellStyle name="Normal 57" xfId="620"/>
    <cellStyle name="Normal 57 2" xfId="1072"/>
    <cellStyle name="Normal 58" xfId="621"/>
    <cellStyle name="Normal 58 2" xfId="1073"/>
    <cellStyle name="Normal 59" xfId="622"/>
    <cellStyle name="Normal 59 2" xfId="1074"/>
    <cellStyle name="Normal 6" xfId="508"/>
    <cellStyle name="Normal 6 10" xfId="870"/>
    <cellStyle name="Normal 6 11" xfId="871"/>
    <cellStyle name="Normal 6 12" xfId="872"/>
    <cellStyle name="Normal 6 2" xfId="509"/>
    <cellStyle name="Normal 6 2 2" xfId="510"/>
    <cellStyle name="Normal 6 2 2 2" xfId="873"/>
    <cellStyle name="Normal 6 2 2 2 2" xfId="874"/>
    <cellStyle name="Normal 6 2 2 3" xfId="875"/>
    <cellStyle name="Normal 6 2 3" xfId="876"/>
    <cellStyle name="Normal 6 2 3 2" xfId="877"/>
    <cellStyle name="Normal 6 2 4" xfId="878"/>
    <cellStyle name="Normal 6 3" xfId="511"/>
    <cellStyle name="Normal 6 3 2" xfId="512"/>
    <cellStyle name="Normal 6 3 2 2" xfId="879"/>
    <cellStyle name="Normal 6 3 2 2 2" xfId="880"/>
    <cellStyle name="Normal 6 3 2 3" xfId="881"/>
    <cellStyle name="Normal 6 3 3" xfId="882"/>
    <cellStyle name="Normal 6 3 3 2" xfId="883"/>
    <cellStyle name="Normal 6 3 4" xfId="884"/>
    <cellStyle name="Normal 6 4" xfId="513"/>
    <cellStyle name="Normal 6 4 2" xfId="584"/>
    <cellStyle name="Normal 6 4 2 2" xfId="885"/>
    <cellStyle name="Normal 6 4 2 2 2" xfId="886"/>
    <cellStyle name="Normal 6 4 2 3" xfId="887"/>
    <cellStyle name="Normal 6 4 3" xfId="888"/>
    <cellStyle name="Normal 6 4 3 2" xfId="889"/>
    <cellStyle name="Normal 6 4 4" xfId="890"/>
    <cellStyle name="Normal 6 5" xfId="514"/>
    <cellStyle name="Normal 6 5 2" xfId="891"/>
    <cellStyle name="Normal 6 5 2 2" xfId="892"/>
    <cellStyle name="Normal 6 5 2 2 2" xfId="893"/>
    <cellStyle name="Normal 6 5 2 3" xfId="894"/>
    <cellStyle name="Normal 6 5 3" xfId="895"/>
    <cellStyle name="Normal 6 5 3 2" xfId="896"/>
    <cellStyle name="Normal 6 5 4" xfId="897"/>
    <cellStyle name="Normal 6 6" xfId="515"/>
    <cellStyle name="Normal 6 6 2" xfId="898"/>
    <cellStyle name="Normal 6 6 2 2" xfId="899"/>
    <cellStyle name="Normal 6 6 2 2 2" xfId="900"/>
    <cellStyle name="Normal 6 6 2 3" xfId="901"/>
    <cellStyle name="Normal 6 6 3" xfId="902"/>
    <cellStyle name="Normal 6 6 3 2" xfId="903"/>
    <cellStyle name="Normal 6 6 4" xfId="904"/>
    <cellStyle name="Normal 6 7" xfId="516"/>
    <cellStyle name="Normal 6 7 2" xfId="905"/>
    <cellStyle name="Normal 6 7 2 2" xfId="906"/>
    <cellStyle name="Normal 6 7 2 2 2" xfId="907"/>
    <cellStyle name="Normal 6 7 2 3" xfId="908"/>
    <cellStyle name="Normal 6 7 3" xfId="909"/>
    <cellStyle name="Normal 6 7 3 2" xfId="910"/>
    <cellStyle name="Normal 6 7 4" xfId="911"/>
    <cellStyle name="Normal 6 8" xfId="912"/>
    <cellStyle name="Normal 6 8 2" xfId="913"/>
    <cellStyle name="Normal 6 8 2 2" xfId="914"/>
    <cellStyle name="Normal 6 8 3" xfId="915"/>
    <cellStyle name="Normal 6 9" xfId="916"/>
    <cellStyle name="Normal 6 9 2" xfId="917"/>
    <cellStyle name="Normal 60" xfId="623"/>
    <cellStyle name="Normal 60 2" xfId="1075"/>
    <cellStyle name="Normal 61" xfId="624"/>
    <cellStyle name="Normal 61 2" xfId="1076"/>
    <cellStyle name="Normal 62" xfId="625"/>
    <cellStyle name="Normal 62 2" xfId="1077"/>
    <cellStyle name="Normal 63" xfId="626"/>
    <cellStyle name="Normal 63 2" xfId="1078"/>
    <cellStyle name="Normal 64" xfId="630"/>
    <cellStyle name="Normal 64 2" xfId="1079"/>
    <cellStyle name="Normal 65" xfId="627"/>
    <cellStyle name="Normal 65 2" xfId="1080"/>
    <cellStyle name="Normal 66" xfId="636"/>
    <cellStyle name="Normal 67" xfId="637"/>
    <cellStyle name="Normal 68" xfId="638"/>
    <cellStyle name="Normal 69" xfId="639"/>
    <cellStyle name="Normal 7" xfId="517"/>
    <cellStyle name="Normal 7 2" xfId="518"/>
    <cellStyle name="Normal 7 2 2" xfId="519"/>
    <cellStyle name="Normal 7 3" xfId="520"/>
    <cellStyle name="Normal 7 3 2" xfId="521"/>
    <cellStyle name="Normal 7 4" xfId="522"/>
    <cellStyle name="Normal 7 4 2" xfId="523"/>
    <cellStyle name="Normal 7 5" xfId="524"/>
    <cellStyle name="Normal 7 6" xfId="525"/>
    <cellStyle name="Normal 7 7" xfId="526"/>
    <cellStyle name="Normal 7 8" xfId="527"/>
    <cellStyle name="Normal 7 9" xfId="918"/>
    <cellStyle name="Normal 70" xfId="640"/>
    <cellStyle name="Normal 71" xfId="641"/>
    <cellStyle name="Normal 72" xfId="642"/>
    <cellStyle name="Normal 73" xfId="643"/>
    <cellStyle name="Normal 74" xfId="644"/>
    <cellStyle name="Normal 75" xfId="645"/>
    <cellStyle name="Normal 76" xfId="646"/>
    <cellStyle name="Normal 77" xfId="647"/>
    <cellStyle name="Normal 78" xfId="648"/>
    <cellStyle name="Normal 79" xfId="649"/>
    <cellStyle name="Normal 8" xfId="528"/>
    <cellStyle name="Normal 8 2" xfId="529"/>
    <cellStyle name="Normal 8 2 2" xfId="530"/>
    <cellStyle name="Normal 8 3" xfId="531"/>
    <cellStyle name="Normal 8 3 2" xfId="532"/>
    <cellStyle name="Normal 8 3 3" xfId="919"/>
    <cellStyle name="Normal 8 4" xfId="533"/>
    <cellStyle name="Normal 8 5" xfId="534"/>
    <cellStyle name="Normal 8 6" xfId="535"/>
    <cellStyle name="Normal 8 7" xfId="536"/>
    <cellStyle name="Normal 80" xfId="650"/>
    <cellStyle name="Normal 81" xfId="651"/>
    <cellStyle name="Normal 82" xfId="652"/>
    <cellStyle name="Normal 83" xfId="654"/>
    <cellStyle name="Normal 83 2" xfId="1081"/>
    <cellStyle name="Normal 84" xfId="655"/>
    <cellStyle name="Normal 85" xfId="656"/>
    <cellStyle name="Normal 85 2" xfId="1082"/>
    <cellStyle name="Normal 85 3" xfId="1093"/>
    <cellStyle name="Normal 86" xfId="657"/>
    <cellStyle name="Normal 86 2" xfId="1083"/>
    <cellStyle name="Normal 86 3" xfId="1094"/>
    <cellStyle name="Normal 87" xfId="658"/>
    <cellStyle name="Normal 87 2" xfId="920"/>
    <cellStyle name="Normal 87 3" xfId="1084"/>
    <cellStyle name="Normal 88" xfId="921"/>
    <cellStyle name="Normal 89" xfId="922"/>
    <cellStyle name="Normal 9" xfId="537"/>
    <cellStyle name="Normal 9 2" xfId="538"/>
    <cellStyle name="Normal 9 2 2" xfId="539"/>
    <cellStyle name="Normal 9 2 2 2" xfId="923"/>
    <cellStyle name="Normal 9 2 2 2 2" xfId="924"/>
    <cellStyle name="Normal 9 2 2 3" xfId="925"/>
    <cellStyle name="Normal 9 2 3" xfId="926"/>
    <cellStyle name="Normal 9 2 3 2" xfId="927"/>
    <cellStyle name="Normal 9 2 4" xfId="928"/>
    <cellStyle name="Normal 9 3" xfId="540"/>
    <cellStyle name="Normal 9 3 2" xfId="541"/>
    <cellStyle name="Normal 9 3 2 2" xfId="929"/>
    <cellStyle name="Normal 9 3 3" xfId="930"/>
    <cellStyle name="Normal 9 4" xfId="542"/>
    <cellStyle name="Normal 9 4 2" xfId="931"/>
    <cellStyle name="Normal 9 5" xfId="543"/>
    <cellStyle name="Normal 9 6" xfId="544"/>
    <cellStyle name="Normal 9 7" xfId="545"/>
    <cellStyle name="Normal 90" xfId="932"/>
    <cellStyle name="Normal 91" xfId="933"/>
    <cellStyle name="Normal 92" xfId="934"/>
    <cellStyle name="Normal 93" xfId="935"/>
    <cellStyle name="Normal 94" xfId="936"/>
    <cellStyle name="Normal 95" xfId="937"/>
    <cellStyle name="Normal 96" xfId="938"/>
    <cellStyle name="Normal 97" xfId="939"/>
    <cellStyle name="Normal 97 2" xfId="1085"/>
    <cellStyle name="Normal 98" xfId="940"/>
    <cellStyle name="Normal 99" xfId="941"/>
    <cellStyle name="Normal_IPCviejo" xfId="1089"/>
    <cellStyle name="Notas 2" xfId="546"/>
    <cellStyle name="Notas 2 2" xfId="547"/>
    <cellStyle name="Note" xfId="548"/>
    <cellStyle name="Note 2" xfId="549"/>
    <cellStyle name="Output" xfId="550"/>
    <cellStyle name="Output 2" xfId="551"/>
    <cellStyle name="Porcentaje" xfId="552" builtinId="5"/>
    <cellStyle name="Porcentaje 2" xfId="553"/>
    <cellStyle name="Porcentaje 3" xfId="942"/>
    <cellStyle name="Porcentaje 3 2" xfId="1086"/>
    <cellStyle name="Porcentaje 4" xfId="943"/>
    <cellStyle name="Porcentaje 4 2" xfId="1087"/>
    <cellStyle name="Porcentaje 5" xfId="1088"/>
    <cellStyle name="Porcentaje 6" xfId="1092"/>
    <cellStyle name="Porcentaje 6 2" xfId="1099"/>
    <cellStyle name="Porcentual 10" xfId="944"/>
    <cellStyle name="Porcentual 10 2" xfId="945"/>
    <cellStyle name="Porcentual 11" xfId="946"/>
    <cellStyle name="Porcentual 2" xfId="554"/>
    <cellStyle name="Porcentual 2 2" xfId="555"/>
    <cellStyle name="Porcentual 2 2 2" xfId="947"/>
    <cellStyle name="Porcentual 2 2 2 2" xfId="948"/>
    <cellStyle name="Porcentual 2 3" xfId="556"/>
    <cellStyle name="Porcentual 2 3 2" xfId="949"/>
    <cellStyle name="Porcentual 2 4" xfId="557"/>
    <cellStyle name="Porcentual 2 5" xfId="950"/>
    <cellStyle name="Porcentual 2 6" xfId="951"/>
    <cellStyle name="Porcentual 3" xfId="558"/>
    <cellStyle name="Porcentual 3 2" xfId="952"/>
    <cellStyle name="Porcentual 3 3" xfId="953"/>
    <cellStyle name="Porcentual 3 4" xfId="954"/>
    <cellStyle name="Porcentual 3 5" xfId="955"/>
    <cellStyle name="Porcentual 3 6" xfId="956"/>
    <cellStyle name="Porcentual 3 7" xfId="957"/>
    <cellStyle name="Porcentual 4" xfId="958"/>
    <cellStyle name="Porcentual 4 2" xfId="959"/>
    <cellStyle name="Porcentual 4 3" xfId="960"/>
    <cellStyle name="Porcentual 4 4" xfId="961"/>
    <cellStyle name="Porcentual 4 5" xfId="962"/>
    <cellStyle name="Porcentual 4 6" xfId="963"/>
    <cellStyle name="Porcentual 4 7" xfId="964"/>
    <cellStyle name="Porcentual 4 8" xfId="965"/>
    <cellStyle name="Porcentual 5" xfId="966"/>
    <cellStyle name="Porcentual 5 10" xfId="967"/>
    <cellStyle name="Porcentual 5 11" xfId="968"/>
    <cellStyle name="Porcentual 5 12" xfId="969"/>
    <cellStyle name="Porcentual 5 2" xfId="559"/>
    <cellStyle name="Porcentual 5 2 2" xfId="970"/>
    <cellStyle name="Porcentual 5 2 2 2" xfId="971"/>
    <cellStyle name="Porcentual 5 2 2 2 2" xfId="972"/>
    <cellStyle name="Porcentual 5 2 2 3" xfId="973"/>
    <cellStyle name="Porcentual 5 2 3" xfId="974"/>
    <cellStyle name="Porcentual 5 2 3 2" xfId="975"/>
    <cellStyle name="Porcentual 5 2 4" xfId="976"/>
    <cellStyle name="Porcentual 5 3" xfId="977"/>
    <cellStyle name="Porcentual 5 3 2" xfId="978"/>
    <cellStyle name="Porcentual 5 3 2 2" xfId="979"/>
    <cellStyle name="Porcentual 5 3 2 2 2" xfId="980"/>
    <cellStyle name="Porcentual 5 3 2 3" xfId="981"/>
    <cellStyle name="Porcentual 5 3 3" xfId="982"/>
    <cellStyle name="Porcentual 5 3 3 2" xfId="983"/>
    <cellStyle name="Porcentual 5 3 4" xfId="984"/>
    <cellStyle name="Porcentual 5 4" xfId="985"/>
    <cellStyle name="Porcentual 5 4 2" xfId="986"/>
    <cellStyle name="Porcentual 5 4 2 2" xfId="987"/>
    <cellStyle name="Porcentual 5 4 2 2 2" xfId="988"/>
    <cellStyle name="Porcentual 5 4 2 3" xfId="989"/>
    <cellStyle name="Porcentual 5 4 3" xfId="990"/>
    <cellStyle name="Porcentual 5 4 3 2" xfId="991"/>
    <cellStyle name="Porcentual 5 4 4" xfId="992"/>
    <cellStyle name="Porcentual 5 5" xfId="993"/>
    <cellStyle name="Porcentual 5 5 2" xfId="994"/>
    <cellStyle name="Porcentual 5 5 2 2" xfId="995"/>
    <cellStyle name="Porcentual 5 5 2 2 2" xfId="996"/>
    <cellStyle name="Porcentual 5 5 2 3" xfId="997"/>
    <cellStyle name="Porcentual 5 5 3" xfId="998"/>
    <cellStyle name="Porcentual 5 5 3 2" xfId="999"/>
    <cellStyle name="Porcentual 5 5 4" xfId="1000"/>
    <cellStyle name="Porcentual 5 6" xfId="1001"/>
    <cellStyle name="Porcentual 5 6 2" xfId="1002"/>
    <cellStyle name="Porcentual 5 6 2 2" xfId="1003"/>
    <cellStyle name="Porcentual 5 6 2 2 2" xfId="1004"/>
    <cellStyle name="Porcentual 5 6 2 3" xfId="1005"/>
    <cellStyle name="Porcentual 5 6 3" xfId="1006"/>
    <cellStyle name="Porcentual 5 6 3 2" xfId="1007"/>
    <cellStyle name="Porcentual 5 6 4" xfId="1008"/>
    <cellStyle name="Porcentual 5 7" xfId="1009"/>
    <cellStyle name="Porcentual 5 7 2" xfId="1010"/>
    <cellStyle name="Porcentual 5 7 2 2" xfId="1011"/>
    <cellStyle name="Porcentual 5 7 2 2 2" xfId="1012"/>
    <cellStyle name="Porcentual 5 7 2 3" xfId="1013"/>
    <cellStyle name="Porcentual 5 7 3" xfId="1014"/>
    <cellStyle name="Porcentual 5 7 3 2" xfId="1015"/>
    <cellStyle name="Porcentual 5 7 4" xfId="1016"/>
    <cellStyle name="Porcentual 5 8" xfId="1017"/>
    <cellStyle name="Porcentual 5 8 2" xfId="1018"/>
    <cellStyle name="Porcentual 5 8 2 2" xfId="1019"/>
    <cellStyle name="Porcentual 5 8 3" xfId="1020"/>
    <cellStyle name="Porcentual 5 9" xfId="1021"/>
    <cellStyle name="Porcentual 5 9 2" xfId="1022"/>
    <cellStyle name="Porcentual 6" xfId="1023"/>
    <cellStyle name="Porcentual 6 2" xfId="1024"/>
    <cellStyle name="Porcentual 6 2 2" xfId="1025"/>
    <cellStyle name="Porcentual 6 2 2 2" xfId="1026"/>
    <cellStyle name="Porcentual 6 2 2 2 2" xfId="1027"/>
    <cellStyle name="Porcentual 6 3" xfId="1028"/>
    <cellStyle name="Porcentual 7" xfId="1029"/>
    <cellStyle name="Porcentual 7 2" xfId="1030"/>
    <cellStyle name="Porcentual 8" xfId="1031"/>
    <cellStyle name="Porcentual 8 2" xfId="1032"/>
    <cellStyle name="Porcentual 9" xfId="1033"/>
    <cellStyle name="Porcentual 9 2" xfId="1034"/>
    <cellStyle name="Porcentual 9 2 2" xfId="1035"/>
    <cellStyle name="Porcentual 9 2 2 2" xfId="1036"/>
    <cellStyle name="Porcentual 9 2 2 2 2" xfId="1037"/>
    <cellStyle name="Porcentual 9 2 2 3" xfId="1038"/>
    <cellStyle name="Porcentual 9 2 3" xfId="1039"/>
    <cellStyle name="Porcentual 9 2 3 2" xfId="1040"/>
    <cellStyle name="Porcentual 9 2 4" xfId="1041"/>
    <cellStyle name="Porcentual 9 2 5" xfId="1042"/>
    <cellStyle name="Salida 2" xfId="560"/>
    <cellStyle name="Salida 2 2" xfId="561"/>
    <cellStyle name="Texto de advertencia 2" xfId="562"/>
    <cellStyle name="Texto de advertencia 2 2" xfId="563"/>
    <cellStyle name="Texto explicativo 2" xfId="564"/>
    <cellStyle name="Texto explicativo 2 2" xfId="565"/>
    <cellStyle name="Title" xfId="566"/>
    <cellStyle name="Title 2" xfId="567"/>
    <cellStyle name="Título 1 2" xfId="568"/>
    <cellStyle name="Título 1 2 2" xfId="569"/>
    <cellStyle name="Título 2 2" xfId="570"/>
    <cellStyle name="Título 2 2 2" xfId="571"/>
    <cellStyle name="Título 3 2" xfId="572"/>
    <cellStyle name="Título 3 2 2" xfId="573"/>
    <cellStyle name="Título 4" xfId="574"/>
    <cellStyle name="Título 4 2" xfId="575"/>
    <cellStyle name="Total 2" xfId="576"/>
    <cellStyle name="Total 2 2" xfId="577"/>
    <cellStyle name="Total 2 2 2" xfId="604"/>
    <cellStyle name="Total 2 3" xfId="581"/>
    <cellStyle name="Warning Text" xfId="578"/>
    <cellStyle name="Warning Text 2" xfId="579"/>
  </cellStyles>
  <dxfs count="0"/>
  <tableStyles count="1" defaultTableStyle="TableStyleMedium9" defaultPivotStyle="PivotStyleLight16">
    <tableStyle name="Estilo de tabla 1" pivot="0" count="0"/>
  </tableStyles>
  <colors>
    <mruColors>
      <color rgb="FF249AA6"/>
      <color rgb="FFFF6600"/>
      <color rgb="FFFF3399"/>
      <color rgb="FF66FF33"/>
      <color rgb="FF19F333"/>
      <color rgb="FF0000FF"/>
      <color rgb="FF2AB2E2"/>
      <color rgb="FFA79E23"/>
      <color rgb="FF9E2C96"/>
      <color rgb="FFB812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externalLink" Target="externalLinks/externalLink2.xml"/><Relationship Id="rId159"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sharedStrings" Target="sharedStrings.xml"/><Relationship Id="rId16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externalLink" Target="externalLinks/externalLink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externalLink" Target="externalLinks/externalLink4.xml"/><Relationship Id="rId16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onnections" Target="connection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95.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5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6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8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Empresas y Empleados Afiliados Activos al SDSS por Sector</a:t>
            </a:r>
          </a:p>
        </c:rich>
      </c:tx>
      <c:layout>
        <c:manualLayout>
          <c:xMode val="edge"/>
          <c:yMode val="edge"/>
          <c:x val="0.28980749443619491"/>
          <c:y val="1.3866318129155508E-2"/>
        </c:manualLayout>
      </c:layout>
      <c:overlay val="0"/>
    </c:title>
    <c:autoTitleDeleted val="0"/>
    <c:plotArea>
      <c:layout>
        <c:manualLayout>
          <c:layoutTarget val="inner"/>
          <c:xMode val="edge"/>
          <c:yMode val="edge"/>
          <c:x val="6.1809315376537388E-2"/>
          <c:y val="0.26258658579670247"/>
          <c:w val="0.88901701277591128"/>
          <c:h val="0.56173094754780351"/>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0451660698933001E-3"/>
                  <c:y val="0"/>
                </c:manualLayout>
              </c:layou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Jun.15</c:v>
                </c:pt>
              </c:strCache>
            </c:strRef>
          </c:cat>
          <c:val>
            <c:numRef>
              <c:f>'II.3. Empl x sector '!$I$4:$I$11</c:f>
              <c:numCache>
                <c:formatCode>#,##0</c:formatCode>
                <c:ptCount val="8"/>
                <c:pt idx="0">
                  <c:v>1188229</c:v>
                </c:pt>
                <c:pt idx="1">
                  <c:v>1227725</c:v>
                </c:pt>
                <c:pt idx="2">
                  <c:v>1299087</c:v>
                </c:pt>
                <c:pt idx="3">
                  <c:v>1363921</c:v>
                </c:pt>
                <c:pt idx="4">
                  <c:v>1427902</c:v>
                </c:pt>
                <c:pt idx="5">
                  <c:v>1526658</c:v>
                </c:pt>
                <c:pt idx="6">
                  <c:v>1651202</c:v>
                </c:pt>
                <c:pt idx="7">
                  <c:v>1706784</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2.128529332283462E-2"/>
                  <c:y val="2.112457243532720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8244537133858239E-2"/>
                  <c:y val="2.112457243532720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8244537133858239E-2"/>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5203780944881864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6217366341207396E-2"/>
                  <c:y val="4.2249144870652863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6217366341207323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258122530183695E-2"/>
                  <c:y val="2.1124572435325655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266910554999458E-2"/>
                  <c:y val="-4.0918463142599735E-5"/>
                </c:manualLayout>
              </c:layout>
              <c:spPr/>
              <c:txPr>
                <a:bodyPr/>
                <a:lstStyle/>
                <a:p>
                  <a:pPr>
                    <a:defRPr sz="1800" b="1">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Jun.15</c:v>
                </c:pt>
              </c:strCache>
            </c:strRef>
          </c:cat>
          <c:val>
            <c:numRef>
              <c:f>'II.3. Empl x sector '!$E$4:$E$11</c:f>
              <c:numCache>
                <c:formatCode>#,##0</c:formatCode>
                <c:ptCount val="8"/>
                <c:pt idx="0">
                  <c:v>41757</c:v>
                </c:pt>
                <c:pt idx="1">
                  <c:v>41671</c:v>
                </c:pt>
                <c:pt idx="2">
                  <c:v>44179</c:v>
                </c:pt>
                <c:pt idx="3">
                  <c:v>47222</c:v>
                </c:pt>
                <c:pt idx="4">
                  <c:v>51351</c:v>
                </c:pt>
                <c:pt idx="5">
                  <c:v>59335</c:v>
                </c:pt>
                <c:pt idx="6">
                  <c:v>65666</c:v>
                </c:pt>
                <c:pt idx="7">
                  <c:v>68504</c:v>
                </c:pt>
              </c:numCache>
            </c:numRef>
          </c:val>
        </c:ser>
        <c:dLbls>
          <c:showLegendKey val="0"/>
          <c:showVal val="0"/>
          <c:showCatName val="0"/>
          <c:showSerName val="0"/>
          <c:showPercent val="0"/>
          <c:showBubbleSize val="0"/>
        </c:dLbls>
        <c:gapWidth val="49"/>
        <c:overlap val="69"/>
        <c:axId val="269813424"/>
        <c:axId val="26981303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20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Jun.15</c:v>
                </c:pt>
              </c:strCache>
            </c:strRef>
          </c:cat>
          <c:val>
            <c:numRef>
              <c:f>'II.3. Empl x sector '!$J$4:$J$11</c:f>
              <c:numCache>
                <c:formatCode>#,##0.0</c:formatCode>
                <c:ptCount val="8"/>
                <c:pt idx="0">
                  <c:v>28.455803817324043</c:v>
                </c:pt>
                <c:pt idx="1">
                  <c:v>29.462335917064625</c:v>
                </c:pt>
                <c:pt idx="2">
                  <c:v>29.405079336336268</c:v>
                </c:pt>
                <c:pt idx="3">
                  <c:v>28.883168861971114</c:v>
                </c:pt>
                <c:pt idx="4">
                  <c:v>27.806702887967127</c:v>
                </c:pt>
                <c:pt idx="5">
                  <c:v>25.729468273363107</c:v>
                </c:pt>
                <c:pt idx="6">
                  <c:v>25.145463405719855</c:v>
                </c:pt>
                <c:pt idx="7">
                  <c:v>24.915099848184049</c:v>
                </c:pt>
              </c:numCache>
            </c:numRef>
          </c:val>
          <c:smooth val="0"/>
        </c:ser>
        <c:dLbls>
          <c:showLegendKey val="0"/>
          <c:showVal val="0"/>
          <c:showCatName val="0"/>
          <c:showSerName val="0"/>
          <c:showPercent val="0"/>
          <c:showBubbleSize val="0"/>
        </c:dLbls>
        <c:marker val="1"/>
        <c:smooth val="0"/>
        <c:axId val="269812248"/>
        <c:axId val="269812640"/>
      </c:lineChart>
      <c:catAx>
        <c:axId val="269813424"/>
        <c:scaling>
          <c:orientation val="minMax"/>
        </c:scaling>
        <c:delete val="0"/>
        <c:axPos val="b"/>
        <c:numFmt formatCode="General" sourceLinked="0"/>
        <c:majorTickMark val="none"/>
        <c:minorTickMark val="none"/>
        <c:tickLblPos val="nextTo"/>
        <c:txPr>
          <a:bodyPr/>
          <a:lstStyle/>
          <a:p>
            <a:pPr>
              <a:defRPr sz="1400"/>
            </a:pPr>
            <a:endParaRPr lang="es-ES"/>
          </a:p>
        </c:txPr>
        <c:crossAx val="269813032"/>
        <c:crosses val="autoZero"/>
        <c:auto val="1"/>
        <c:lblAlgn val="ctr"/>
        <c:lblOffset val="100"/>
        <c:noMultiLvlLbl val="0"/>
      </c:catAx>
      <c:valAx>
        <c:axId val="269813032"/>
        <c:scaling>
          <c:orientation val="minMax"/>
        </c:scaling>
        <c:delete val="0"/>
        <c:axPos val="l"/>
        <c:numFmt formatCode="#,##0" sourceLinked="1"/>
        <c:majorTickMark val="none"/>
        <c:minorTickMark val="none"/>
        <c:tickLblPos val="nextTo"/>
        <c:crossAx val="269813424"/>
        <c:crosses val="autoZero"/>
        <c:crossBetween val="between"/>
      </c:valAx>
      <c:valAx>
        <c:axId val="269812640"/>
        <c:scaling>
          <c:orientation val="minMax"/>
          <c:max val="100"/>
        </c:scaling>
        <c:delete val="0"/>
        <c:axPos val="r"/>
        <c:numFmt formatCode="#,##0.0" sourceLinked="1"/>
        <c:majorTickMark val="out"/>
        <c:minorTickMark val="none"/>
        <c:tickLblPos val="nextTo"/>
        <c:crossAx val="269812248"/>
        <c:crosses val="max"/>
        <c:crossBetween val="between"/>
      </c:valAx>
      <c:catAx>
        <c:axId val="269812248"/>
        <c:scaling>
          <c:orientation val="minMax"/>
        </c:scaling>
        <c:delete val="1"/>
        <c:axPos val="b"/>
        <c:numFmt formatCode="General" sourceLinked="1"/>
        <c:majorTickMark val="out"/>
        <c:minorTickMark val="none"/>
        <c:tickLblPos val="nextTo"/>
        <c:crossAx val="269812640"/>
        <c:crosses val="autoZero"/>
        <c:auto val="1"/>
        <c:lblAlgn val="ctr"/>
        <c:lblOffset val="100"/>
        <c:noMultiLvlLbl val="0"/>
      </c:catAx>
    </c:plotArea>
    <c:legend>
      <c:legendPos val="t"/>
      <c:layout>
        <c:manualLayout>
          <c:xMode val="edge"/>
          <c:yMode val="edge"/>
          <c:x val="0.22736746906077374"/>
          <c:y val="6.3101418375457921E-2"/>
          <c:w val="0.5894674911792509"/>
          <c:h val="4.87267507888125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302841772032908"/>
          <c:y val="2.518453559367699E-2"/>
        </c:manualLayout>
      </c:layout>
      <c:overlay val="0"/>
    </c:title>
    <c:autoTitleDeleted val="0"/>
    <c:plotArea>
      <c:layout>
        <c:manualLayout>
          <c:layoutTarget val="inner"/>
          <c:xMode val="edge"/>
          <c:yMode val="edge"/>
          <c:x val="2.1747599080866799E-2"/>
          <c:y val="0.16801360066087159"/>
          <c:w val="0.9368072411677425"/>
          <c:h val="0.61391895179660549"/>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2"/>
              <c:layout>
                <c:manualLayout>
                  <c:x val="-6.1572906563603629E-4"/>
                  <c:y val="1.262191578021726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'!$A$3:$A$11</c:f>
              <c:strCache>
                <c:ptCount val="9"/>
                <c:pt idx="0">
                  <c:v>Dic.2007</c:v>
                </c:pt>
                <c:pt idx="1">
                  <c:v>Dic.2008</c:v>
                </c:pt>
                <c:pt idx="2">
                  <c:v>Dic.2009</c:v>
                </c:pt>
                <c:pt idx="3">
                  <c:v>Dic.2010</c:v>
                </c:pt>
                <c:pt idx="4">
                  <c:v>Dic.2011</c:v>
                </c:pt>
                <c:pt idx="5">
                  <c:v>Dic.2012</c:v>
                </c:pt>
                <c:pt idx="6">
                  <c:v>Dic.2013</c:v>
                </c:pt>
                <c:pt idx="7">
                  <c:v>Dic.2014</c:v>
                </c:pt>
                <c:pt idx="8">
                  <c:v>Jun.2015</c:v>
                </c:pt>
              </c:strCache>
            </c:strRef>
          </c:cat>
          <c:val>
            <c:numRef>
              <c:f>'III.2.2. Afil. SFS RC Anual '!$C$3:$C$11</c:f>
              <c:numCache>
                <c:formatCode>#,##0</c:formatCode>
                <c:ptCount val="9"/>
                <c:pt idx="0">
                  <c:v>557270</c:v>
                </c:pt>
                <c:pt idx="1">
                  <c:v>726113</c:v>
                </c:pt>
                <c:pt idx="2">
                  <c:v>1008697</c:v>
                </c:pt>
                <c:pt idx="3">
                  <c:v>1211222</c:v>
                </c:pt>
                <c:pt idx="4">
                  <c:v>1329078</c:v>
                </c:pt>
                <c:pt idx="5">
                  <c:v>1445581</c:v>
                </c:pt>
                <c:pt idx="6">
                  <c:v>1561485</c:v>
                </c:pt>
                <c:pt idx="7">
                  <c:v>1718613</c:v>
                </c:pt>
                <c:pt idx="8">
                  <c:v>1799501</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2"/>
              <c:layout>
                <c:manualLayout>
                  <c:x val="0"/>
                  <c:y val="-1.009753262417381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0891158875410754E-2"/>
                  <c:y val="7.6645838186641694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143027335709325E-4"/>
                  <c:y val="-1.2902278044498703E-3"/>
                </c:manualLayout>
              </c:layout>
              <c:spPr>
                <a:noFill/>
                <a:ln>
                  <a:noFill/>
                </a:ln>
                <a:effectLs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'!$A$3:$A$11</c:f>
              <c:strCache>
                <c:ptCount val="9"/>
                <c:pt idx="0">
                  <c:v>Dic.2007</c:v>
                </c:pt>
                <c:pt idx="1">
                  <c:v>Dic.2008</c:v>
                </c:pt>
                <c:pt idx="2">
                  <c:v>Dic.2009</c:v>
                </c:pt>
                <c:pt idx="3">
                  <c:v>Dic.2010</c:v>
                </c:pt>
                <c:pt idx="4">
                  <c:v>Dic.2011</c:v>
                </c:pt>
                <c:pt idx="5">
                  <c:v>Dic.2012</c:v>
                </c:pt>
                <c:pt idx="6">
                  <c:v>Dic.2013</c:v>
                </c:pt>
                <c:pt idx="7">
                  <c:v>Dic.2014</c:v>
                </c:pt>
                <c:pt idx="8">
                  <c:v>Jun.2015</c:v>
                </c:pt>
              </c:strCache>
            </c:strRef>
          </c:cat>
          <c:val>
            <c:numRef>
              <c:f>'III.2.2. Afil. SFS RC Anual '!$B$3:$B$11</c:f>
              <c:numCache>
                <c:formatCode>#,##0</c:formatCode>
                <c:ptCount val="9"/>
                <c:pt idx="0">
                  <c:v>919911</c:v>
                </c:pt>
                <c:pt idx="1">
                  <c:v>966146</c:v>
                </c:pt>
                <c:pt idx="2">
                  <c:v>1079602</c:v>
                </c:pt>
                <c:pt idx="3">
                  <c:v>1152861</c:v>
                </c:pt>
                <c:pt idx="4">
                  <c:v>1188345</c:v>
                </c:pt>
                <c:pt idx="5">
                  <c:v>1242830</c:v>
                </c:pt>
                <c:pt idx="6">
                  <c:v>1297821</c:v>
                </c:pt>
                <c:pt idx="7">
                  <c:v>1422986</c:v>
                </c:pt>
                <c:pt idx="8">
                  <c:v>1485480</c:v>
                </c:pt>
              </c:numCache>
            </c:numRef>
          </c:val>
        </c:ser>
        <c:dLbls>
          <c:showLegendKey val="0"/>
          <c:showVal val="1"/>
          <c:showCatName val="0"/>
          <c:showSerName val="0"/>
          <c:showPercent val="0"/>
          <c:showBubbleSize val="0"/>
        </c:dLbls>
        <c:gapWidth val="58"/>
        <c:overlap val="51"/>
        <c:axId val="877113096"/>
        <c:axId val="877113488"/>
      </c:barChart>
      <c:catAx>
        <c:axId val="877113096"/>
        <c:scaling>
          <c:orientation val="minMax"/>
        </c:scaling>
        <c:delete val="0"/>
        <c:axPos val="b"/>
        <c:numFmt formatCode="General" sourceLinked="0"/>
        <c:majorTickMark val="none"/>
        <c:minorTickMark val="none"/>
        <c:tickLblPos val="nextTo"/>
        <c:txPr>
          <a:bodyPr/>
          <a:lstStyle/>
          <a:p>
            <a:pPr>
              <a:defRPr sz="2400"/>
            </a:pPr>
            <a:endParaRPr lang="es-ES"/>
          </a:p>
        </c:txPr>
        <c:crossAx val="877113488"/>
        <c:crosses val="autoZero"/>
        <c:auto val="1"/>
        <c:lblAlgn val="ctr"/>
        <c:lblOffset val="100"/>
        <c:noMultiLvlLbl val="0"/>
      </c:catAx>
      <c:valAx>
        <c:axId val="877113488"/>
        <c:scaling>
          <c:orientation val="minMax"/>
        </c:scaling>
        <c:delete val="1"/>
        <c:axPos val="l"/>
        <c:numFmt formatCode="#,##0" sourceLinked="1"/>
        <c:majorTickMark val="out"/>
        <c:minorTickMark val="none"/>
        <c:tickLblPos val="nextTo"/>
        <c:crossAx val="877113096"/>
        <c:crosses val="autoZero"/>
        <c:crossBetween val="between"/>
      </c:valAx>
    </c:plotArea>
    <c:legend>
      <c:legendPos val="t"/>
      <c:layout>
        <c:manualLayout>
          <c:xMode val="edge"/>
          <c:yMode val="edge"/>
          <c:x val="0.32907231148324889"/>
          <c:y val="6.3297052195200695E-2"/>
          <c:w val="0.30803096715586509"/>
          <c:h val="3.9769380101759802E-2"/>
        </c:manualLayout>
      </c:layout>
      <c:overlay val="0"/>
      <c:txPr>
        <a:bodyPr/>
        <a:lstStyle/>
        <a:p>
          <a:pPr>
            <a:defRPr sz="18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Origen'!$C$3:$J$3</c:f>
              <c:strCache>
                <c:ptCount val="8"/>
                <c:pt idx="0">
                  <c:v>2009</c:v>
                </c:pt>
                <c:pt idx="1">
                  <c:v>2010</c:v>
                </c:pt>
                <c:pt idx="2">
                  <c:v>2011</c:v>
                </c:pt>
                <c:pt idx="3">
                  <c:v>2012</c:v>
                </c:pt>
                <c:pt idx="4">
                  <c:v>2013</c:v>
                </c:pt>
                <c:pt idx="5">
                  <c:v>2014</c:v>
                </c:pt>
                <c:pt idx="6">
                  <c:v>Ene-Junio.2015</c:v>
                </c:pt>
                <c:pt idx="7">
                  <c:v>Fecha No especificada</c:v>
                </c:pt>
              </c:strCache>
            </c:strRef>
          </c:cat>
          <c:val>
            <c:numRef>
              <c:f>'VI.4. Entidad Receptora Origen'!$C$4:$J$4</c:f>
              <c:numCache>
                <c:formatCode>General</c:formatCode>
                <c:ptCount val="8"/>
                <c:pt idx="0">
                  <c:v>80</c:v>
                </c:pt>
                <c:pt idx="1">
                  <c:v>53</c:v>
                </c:pt>
                <c:pt idx="2">
                  <c:v>66</c:v>
                </c:pt>
                <c:pt idx="3">
                  <c:v>271</c:v>
                </c:pt>
                <c:pt idx="4">
                  <c:v>471</c:v>
                </c:pt>
                <c:pt idx="5">
                  <c:v>273</c:v>
                </c:pt>
                <c:pt idx="6">
                  <c:v>133</c:v>
                </c:pt>
                <c:pt idx="7">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Origen'!$C$3:$J$3</c:f>
              <c:strCache>
                <c:ptCount val="8"/>
                <c:pt idx="0">
                  <c:v>2009</c:v>
                </c:pt>
                <c:pt idx="1">
                  <c:v>2010</c:v>
                </c:pt>
                <c:pt idx="2">
                  <c:v>2011</c:v>
                </c:pt>
                <c:pt idx="3">
                  <c:v>2012</c:v>
                </c:pt>
                <c:pt idx="4">
                  <c:v>2013</c:v>
                </c:pt>
                <c:pt idx="5">
                  <c:v>2014</c:v>
                </c:pt>
                <c:pt idx="6">
                  <c:v>Ene-Junio.2015</c:v>
                </c:pt>
                <c:pt idx="7">
                  <c:v>Fecha No especificada</c:v>
                </c:pt>
              </c:strCache>
            </c:strRef>
          </c:cat>
          <c:val>
            <c:numRef>
              <c:f>'VI.4. Entidad Receptora Origen'!$C$5:$J$5</c:f>
              <c:numCache>
                <c:formatCode>General</c:formatCode>
                <c:ptCount val="8"/>
                <c:pt idx="0">
                  <c:v>13</c:v>
                </c:pt>
                <c:pt idx="1">
                  <c:v>25</c:v>
                </c:pt>
                <c:pt idx="2">
                  <c:v>45</c:v>
                </c:pt>
                <c:pt idx="3">
                  <c:v>180</c:v>
                </c:pt>
                <c:pt idx="4">
                  <c:v>217</c:v>
                </c:pt>
                <c:pt idx="5">
                  <c:v>99</c:v>
                </c:pt>
                <c:pt idx="6">
                  <c:v>41</c:v>
                </c:pt>
                <c:pt idx="7">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Origen'!$C$3:$J$3</c:f>
              <c:strCache>
                <c:ptCount val="8"/>
                <c:pt idx="0">
                  <c:v>2009</c:v>
                </c:pt>
                <c:pt idx="1">
                  <c:v>2010</c:v>
                </c:pt>
                <c:pt idx="2">
                  <c:v>2011</c:v>
                </c:pt>
                <c:pt idx="3">
                  <c:v>2012</c:v>
                </c:pt>
                <c:pt idx="4">
                  <c:v>2013</c:v>
                </c:pt>
                <c:pt idx="5">
                  <c:v>2014</c:v>
                </c:pt>
                <c:pt idx="6">
                  <c:v>Ene-Junio.2015</c:v>
                </c:pt>
                <c:pt idx="7">
                  <c:v>Fecha No especificada</c:v>
                </c:pt>
              </c:strCache>
            </c:strRef>
          </c:cat>
          <c:val>
            <c:numRef>
              <c:f>'VI.4. Entidad Receptora Origen'!$C$6:$J$6</c:f>
              <c:numCache>
                <c:formatCode>General</c:formatCode>
                <c:ptCount val="8"/>
                <c:pt idx="0">
                  <c:v>0</c:v>
                </c:pt>
                <c:pt idx="1">
                  <c:v>0</c:v>
                </c:pt>
                <c:pt idx="2">
                  <c:v>0</c:v>
                </c:pt>
                <c:pt idx="3">
                  <c:v>54</c:v>
                </c:pt>
                <c:pt idx="4">
                  <c:v>19</c:v>
                </c:pt>
                <c:pt idx="5">
                  <c:v>2</c:v>
                </c:pt>
                <c:pt idx="6">
                  <c:v>0</c:v>
                </c:pt>
                <c:pt idx="7">
                  <c:v>1</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Origen'!$C$3:$J$3</c:f>
              <c:strCache>
                <c:ptCount val="8"/>
                <c:pt idx="0">
                  <c:v>2009</c:v>
                </c:pt>
                <c:pt idx="1">
                  <c:v>2010</c:v>
                </c:pt>
                <c:pt idx="2">
                  <c:v>2011</c:v>
                </c:pt>
                <c:pt idx="3">
                  <c:v>2012</c:v>
                </c:pt>
                <c:pt idx="4">
                  <c:v>2013</c:v>
                </c:pt>
                <c:pt idx="5">
                  <c:v>2014</c:v>
                </c:pt>
                <c:pt idx="6">
                  <c:v>Ene-Junio.2015</c:v>
                </c:pt>
                <c:pt idx="7">
                  <c:v>Fecha No especificada</c:v>
                </c:pt>
              </c:strCache>
            </c:strRef>
          </c:cat>
          <c:val>
            <c:numRef>
              <c:f>'VI.4. Entidad Receptora Origen'!$C$7:$J$7</c:f>
              <c:numCache>
                <c:formatCode>General</c:formatCode>
                <c:ptCount val="8"/>
                <c:pt idx="0">
                  <c:v>0</c:v>
                </c:pt>
                <c:pt idx="1">
                  <c:v>8</c:v>
                </c:pt>
                <c:pt idx="2">
                  <c:v>12</c:v>
                </c:pt>
                <c:pt idx="3">
                  <c:v>43</c:v>
                </c:pt>
                <c:pt idx="4">
                  <c:v>56</c:v>
                </c:pt>
                <c:pt idx="5">
                  <c:v>14</c:v>
                </c:pt>
                <c:pt idx="6">
                  <c:v>0</c:v>
                </c:pt>
                <c:pt idx="7">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Origen'!$C$3:$J$3</c:f>
              <c:strCache>
                <c:ptCount val="8"/>
                <c:pt idx="0">
                  <c:v>2009</c:v>
                </c:pt>
                <c:pt idx="1">
                  <c:v>2010</c:v>
                </c:pt>
                <c:pt idx="2">
                  <c:v>2011</c:v>
                </c:pt>
                <c:pt idx="3">
                  <c:v>2012</c:v>
                </c:pt>
                <c:pt idx="4">
                  <c:v>2013</c:v>
                </c:pt>
                <c:pt idx="5">
                  <c:v>2014</c:v>
                </c:pt>
                <c:pt idx="6">
                  <c:v>Ene-Junio.2015</c:v>
                </c:pt>
                <c:pt idx="7">
                  <c:v>Fecha No especificada</c:v>
                </c:pt>
              </c:strCache>
            </c:strRef>
          </c:cat>
          <c:val>
            <c:numRef>
              <c:f>'VI.4. Entidad Receptora Origen'!$C$8:$J$8</c:f>
              <c:numCache>
                <c:formatCode>General</c:formatCode>
                <c:ptCount val="8"/>
                <c:pt idx="0">
                  <c:v>0</c:v>
                </c:pt>
                <c:pt idx="1">
                  <c:v>0</c:v>
                </c:pt>
                <c:pt idx="2">
                  <c:v>0</c:v>
                </c:pt>
                <c:pt idx="3">
                  <c:v>5</c:v>
                </c:pt>
                <c:pt idx="4">
                  <c:v>2</c:v>
                </c:pt>
                <c:pt idx="5">
                  <c:v>0</c:v>
                </c:pt>
                <c:pt idx="6">
                  <c:v>0</c:v>
                </c:pt>
                <c:pt idx="7">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Origen'!$C$3:$J$3</c:f>
              <c:strCache>
                <c:ptCount val="8"/>
                <c:pt idx="0">
                  <c:v>2009</c:v>
                </c:pt>
                <c:pt idx="1">
                  <c:v>2010</c:v>
                </c:pt>
                <c:pt idx="2">
                  <c:v>2011</c:v>
                </c:pt>
                <c:pt idx="3">
                  <c:v>2012</c:v>
                </c:pt>
                <c:pt idx="4">
                  <c:v>2013</c:v>
                </c:pt>
                <c:pt idx="5">
                  <c:v>2014</c:v>
                </c:pt>
                <c:pt idx="6">
                  <c:v>Ene-Junio.2015</c:v>
                </c:pt>
                <c:pt idx="7">
                  <c:v>Fecha No especificada</c:v>
                </c:pt>
              </c:strCache>
            </c:strRef>
          </c:cat>
          <c:val>
            <c:numRef>
              <c:f>'VI.4. Entidad Receptora Origen'!$C$9:$J$9</c:f>
              <c:numCache>
                <c:formatCode>General</c:formatCode>
                <c:ptCount val="8"/>
                <c:pt idx="0">
                  <c:v>1</c:v>
                </c:pt>
                <c:pt idx="1">
                  <c:v>0</c:v>
                </c:pt>
                <c:pt idx="2">
                  <c:v>0</c:v>
                </c:pt>
                <c:pt idx="3">
                  <c:v>6</c:v>
                </c:pt>
                <c:pt idx="4">
                  <c:v>2</c:v>
                </c:pt>
                <c:pt idx="5">
                  <c:v>0</c:v>
                </c:pt>
                <c:pt idx="6">
                  <c:v>0</c:v>
                </c:pt>
                <c:pt idx="7">
                  <c:v>0</c:v>
                </c:pt>
              </c:numCache>
            </c:numRef>
          </c:val>
        </c:ser>
        <c:dLbls>
          <c:showLegendKey val="0"/>
          <c:showVal val="0"/>
          <c:showCatName val="0"/>
          <c:showSerName val="0"/>
          <c:showPercent val="0"/>
          <c:showBubbleSize val="0"/>
        </c:dLbls>
        <c:gapWidth val="150"/>
        <c:axId val="893521640"/>
        <c:axId val="893522032"/>
      </c:barChart>
      <c:catAx>
        <c:axId val="893521640"/>
        <c:scaling>
          <c:orientation val="minMax"/>
        </c:scaling>
        <c:delete val="0"/>
        <c:axPos val="b"/>
        <c:numFmt formatCode="General" sourceLinked="1"/>
        <c:majorTickMark val="none"/>
        <c:minorTickMark val="none"/>
        <c:tickLblPos val="nextTo"/>
        <c:crossAx val="893522032"/>
        <c:crosses val="autoZero"/>
        <c:auto val="1"/>
        <c:lblAlgn val="ctr"/>
        <c:lblOffset val="100"/>
        <c:noMultiLvlLbl val="0"/>
      </c:catAx>
      <c:valAx>
        <c:axId val="893522032"/>
        <c:scaling>
          <c:orientation val="minMax"/>
        </c:scaling>
        <c:delete val="1"/>
        <c:axPos val="l"/>
        <c:numFmt formatCode="General" sourceLinked="1"/>
        <c:majorTickMark val="none"/>
        <c:minorTickMark val="none"/>
        <c:tickLblPos val="nextTo"/>
        <c:crossAx val="893521640"/>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'VII.1 Ocup. formal'!$A$4</c:f>
              <c:strCache>
                <c:ptCount val="1"/>
                <c:pt idx="0">
                  <c:v> Agricultura y Ganadería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formal'!$B$4:$N$4</c:f>
              <c:numCache>
                <c:formatCode>_(* #,##0_);_(* \(#,##0\);_(* "-"??_);_(@_)</c:formatCode>
                <c:ptCount val="10"/>
                <c:pt idx="0">
                  <c:v>59055.5</c:v>
                </c:pt>
                <c:pt idx="1">
                  <c:v>57661</c:v>
                </c:pt>
                <c:pt idx="2">
                  <c:v>63198</c:v>
                </c:pt>
                <c:pt idx="3">
                  <c:v>55832</c:v>
                </c:pt>
                <c:pt idx="4">
                  <c:v>62722</c:v>
                </c:pt>
                <c:pt idx="5">
                  <c:v>56906</c:v>
                </c:pt>
                <c:pt idx="6">
                  <c:v>73730</c:v>
                </c:pt>
                <c:pt idx="7">
                  <c:v>65532</c:v>
                </c:pt>
                <c:pt idx="8">
                  <c:v>74396</c:v>
                </c:pt>
                <c:pt idx="9" formatCode="#,##0_);\(#,##0\)">
                  <c:v>94092</c:v>
                </c:pt>
              </c:numCache>
            </c:numRef>
          </c:val>
          <c:smooth val="0"/>
        </c:ser>
        <c:ser>
          <c:idx val="1"/>
          <c:order val="1"/>
          <c:tx>
            <c:strRef>
              <c:f>'VII.1 Ocup. formal'!$A$5</c:f>
              <c:strCache>
                <c:ptCount val="1"/>
                <c:pt idx="0">
                  <c:v> Explotación de Minas y Canteras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formal'!$B$5:$N$5</c:f>
              <c:numCache>
                <c:formatCode>_(* #,##0_);_(* \(#,##0\);_(* "-"??_);_(@_)</c:formatCode>
                <c:ptCount val="10"/>
                <c:pt idx="0">
                  <c:v>5240.5</c:v>
                </c:pt>
                <c:pt idx="1">
                  <c:v>3875</c:v>
                </c:pt>
                <c:pt idx="2">
                  <c:v>5460.5</c:v>
                </c:pt>
                <c:pt idx="3">
                  <c:v>7849</c:v>
                </c:pt>
                <c:pt idx="4">
                  <c:v>7092</c:v>
                </c:pt>
                <c:pt idx="5">
                  <c:v>9592</c:v>
                </c:pt>
                <c:pt idx="6">
                  <c:v>15545</c:v>
                </c:pt>
                <c:pt idx="7">
                  <c:v>12905</c:v>
                </c:pt>
                <c:pt idx="8">
                  <c:v>9756</c:v>
                </c:pt>
                <c:pt idx="9" formatCode="#,##0_);\(#,##0\)">
                  <c:v>5755</c:v>
                </c:pt>
              </c:numCache>
            </c:numRef>
          </c:val>
          <c:smooth val="0"/>
        </c:ser>
        <c:ser>
          <c:idx val="2"/>
          <c:order val="2"/>
          <c:tx>
            <c:strRef>
              <c:f>'VII.1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formal'!$B$6:$N$6</c:f>
              <c:numCache>
                <c:formatCode>_(* #,##0_);_(* \(#,##0\);_(* "-"??_);_(@_)</c:formatCode>
                <c:ptCount val="10"/>
                <c:pt idx="0">
                  <c:v>356009</c:v>
                </c:pt>
                <c:pt idx="1">
                  <c:v>367230.5</c:v>
                </c:pt>
                <c:pt idx="2">
                  <c:v>381709.5</c:v>
                </c:pt>
                <c:pt idx="3">
                  <c:v>322067</c:v>
                </c:pt>
                <c:pt idx="4">
                  <c:v>267702</c:v>
                </c:pt>
                <c:pt idx="5">
                  <c:v>281199</c:v>
                </c:pt>
                <c:pt idx="6">
                  <c:v>277208</c:v>
                </c:pt>
                <c:pt idx="7">
                  <c:v>292404</c:v>
                </c:pt>
                <c:pt idx="8">
                  <c:v>292394</c:v>
                </c:pt>
                <c:pt idx="9" formatCode="#,##0_);\(#,##0\)">
                  <c:v>288770</c:v>
                </c:pt>
              </c:numCache>
            </c:numRef>
          </c:val>
          <c:smooth val="0"/>
        </c:ser>
        <c:ser>
          <c:idx val="3"/>
          <c:order val="3"/>
          <c:tx>
            <c:strRef>
              <c:f>'VII.1 Ocup. formal'!$A$7</c:f>
              <c:strCache>
                <c:ptCount val="1"/>
                <c:pt idx="0">
                  <c:v> Electricidad, Gas y Agua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formal'!$B$7:$N$7</c:f>
              <c:numCache>
                <c:formatCode>_(* #,##0_);_(* \(#,##0\);_(* "-"??_);_(@_)</c:formatCode>
                <c:ptCount val="10"/>
                <c:pt idx="0">
                  <c:v>26193.5</c:v>
                </c:pt>
                <c:pt idx="1">
                  <c:v>26353.5</c:v>
                </c:pt>
                <c:pt idx="2">
                  <c:v>30830</c:v>
                </c:pt>
                <c:pt idx="3">
                  <c:v>31582</c:v>
                </c:pt>
                <c:pt idx="4">
                  <c:v>30520</c:v>
                </c:pt>
                <c:pt idx="5">
                  <c:v>37741</c:v>
                </c:pt>
                <c:pt idx="6">
                  <c:v>31145</c:v>
                </c:pt>
                <c:pt idx="7">
                  <c:v>43665</c:v>
                </c:pt>
                <c:pt idx="8">
                  <c:v>35190</c:v>
                </c:pt>
                <c:pt idx="9" formatCode="#,##0_);\(#,##0\)">
                  <c:v>34478</c:v>
                </c:pt>
              </c:numCache>
            </c:numRef>
          </c:val>
          <c:smooth val="0"/>
        </c:ser>
        <c:ser>
          <c:idx val="4"/>
          <c:order val="4"/>
          <c:tx>
            <c:strRef>
              <c:f>'VII.1 Ocup. formal'!$A$8</c:f>
              <c:strCache>
                <c:ptCount val="1"/>
                <c:pt idx="0">
                  <c:v> Construcción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formal'!$B$8:$N$8</c:f>
              <c:numCache>
                <c:formatCode>_(* #,##0_);_(* \(#,##0\);_(* "-"??_);_(@_)</c:formatCode>
                <c:ptCount val="10"/>
                <c:pt idx="0">
                  <c:v>31601</c:v>
                </c:pt>
                <c:pt idx="1">
                  <c:v>43507.5</c:v>
                </c:pt>
                <c:pt idx="2">
                  <c:v>45705</c:v>
                </c:pt>
                <c:pt idx="3">
                  <c:v>51584</c:v>
                </c:pt>
                <c:pt idx="4">
                  <c:v>34519</c:v>
                </c:pt>
                <c:pt idx="5">
                  <c:v>40257</c:v>
                </c:pt>
                <c:pt idx="6">
                  <c:v>35938</c:v>
                </c:pt>
                <c:pt idx="7">
                  <c:v>40323</c:v>
                </c:pt>
                <c:pt idx="8">
                  <c:v>27474</c:v>
                </c:pt>
                <c:pt idx="9" formatCode="#,##0_);\(#,##0\)">
                  <c:v>42681</c:v>
                </c:pt>
              </c:numCache>
            </c:numRef>
          </c:val>
          <c:smooth val="0"/>
        </c:ser>
        <c:ser>
          <c:idx val="5"/>
          <c:order val="5"/>
          <c:tx>
            <c:strRef>
              <c:f>'VII.1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formal'!$B$9:$N$9</c:f>
              <c:numCache>
                <c:formatCode>_(* #,##0_);_(* \(#,##0\);_(* "-"??_);_(@_)</c:formatCode>
                <c:ptCount val="10"/>
                <c:pt idx="0">
                  <c:v>211992.5</c:v>
                </c:pt>
                <c:pt idx="1">
                  <c:v>234505</c:v>
                </c:pt>
                <c:pt idx="2">
                  <c:v>229492.5</c:v>
                </c:pt>
                <c:pt idx="3">
                  <c:v>238189</c:v>
                </c:pt>
                <c:pt idx="4">
                  <c:v>241768</c:v>
                </c:pt>
                <c:pt idx="5">
                  <c:v>251447</c:v>
                </c:pt>
                <c:pt idx="6">
                  <c:v>254030</c:v>
                </c:pt>
                <c:pt idx="7">
                  <c:v>236447</c:v>
                </c:pt>
                <c:pt idx="8" formatCode="#,##0_);\(#,##0\)">
                  <c:v>257264</c:v>
                </c:pt>
                <c:pt idx="9" formatCode="#,##0_);\(#,##0\)">
                  <c:v>291369</c:v>
                </c:pt>
              </c:numCache>
            </c:numRef>
          </c:val>
          <c:smooth val="0"/>
        </c:ser>
        <c:ser>
          <c:idx val="6"/>
          <c:order val="6"/>
          <c:tx>
            <c:strRef>
              <c:f>'VII.1 Ocup. formal'!$A$10</c:f>
              <c:strCache>
                <c:ptCount val="1"/>
                <c:pt idx="0">
                  <c:v> Hoteles, Bares y Restaurantes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formal'!$B$10:$N$10</c:f>
              <c:numCache>
                <c:formatCode>_(* #,##0_);_(* \(#,##0\);_(* "-"??_);_(@_)</c:formatCode>
                <c:ptCount val="10"/>
                <c:pt idx="0">
                  <c:v>86665</c:v>
                </c:pt>
                <c:pt idx="1">
                  <c:v>91077</c:v>
                </c:pt>
                <c:pt idx="2">
                  <c:v>105664.5</c:v>
                </c:pt>
                <c:pt idx="3">
                  <c:v>112403</c:v>
                </c:pt>
                <c:pt idx="4">
                  <c:v>101997</c:v>
                </c:pt>
                <c:pt idx="5">
                  <c:v>110062</c:v>
                </c:pt>
                <c:pt idx="6">
                  <c:v>117394</c:v>
                </c:pt>
                <c:pt idx="7">
                  <c:v>123299</c:v>
                </c:pt>
                <c:pt idx="8" formatCode="#,##0_);\(#,##0\)">
                  <c:v>120700</c:v>
                </c:pt>
                <c:pt idx="9" formatCode="#,##0_);\(#,##0\)">
                  <c:v>134768</c:v>
                </c:pt>
              </c:numCache>
            </c:numRef>
          </c:val>
          <c:smooth val="0"/>
        </c:ser>
        <c:ser>
          <c:idx val="7"/>
          <c:order val="7"/>
          <c:tx>
            <c:strRef>
              <c:f>'VII.1 Ocup. formal'!$A$11</c:f>
              <c:strCache>
                <c:ptCount val="1"/>
                <c:pt idx="0">
                  <c:v> Transporte y Comunicaciones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formal'!$B$11:$N$11</c:f>
              <c:numCache>
                <c:formatCode>_(* #,##0_);_(* \(#,##0\);_(* "-"??_);_(@_)</c:formatCode>
                <c:ptCount val="10"/>
                <c:pt idx="0">
                  <c:v>64356.5</c:v>
                </c:pt>
                <c:pt idx="1">
                  <c:v>66871.5</c:v>
                </c:pt>
                <c:pt idx="2">
                  <c:v>68018.5</c:v>
                </c:pt>
                <c:pt idx="3">
                  <c:v>73736</c:v>
                </c:pt>
                <c:pt idx="4">
                  <c:v>74994</c:v>
                </c:pt>
                <c:pt idx="5">
                  <c:v>70890</c:v>
                </c:pt>
                <c:pt idx="6">
                  <c:v>67549</c:v>
                </c:pt>
                <c:pt idx="7">
                  <c:v>71306</c:v>
                </c:pt>
                <c:pt idx="8" formatCode="#,##0_);\(#,##0\)">
                  <c:v>90119</c:v>
                </c:pt>
                <c:pt idx="9" formatCode="#,##0_);\(#,##0\)">
                  <c:v>92028</c:v>
                </c:pt>
              </c:numCache>
            </c:numRef>
          </c:val>
          <c:smooth val="0"/>
        </c:ser>
        <c:ser>
          <c:idx val="8"/>
          <c:order val="8"/>
          <c:tx>
            <c:strRef>
              <c:f>'VII.1 Ocup. formal'!$A$12</c:f>
              <c:strCache>
                <c:ptCount val="1"/>
                <c:pt idx="0">
                  <c:v> Intermediación Financiera y Seguros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formal'!$B$12:$N$12</c:f>
              <c:numCache>
                <c:formatCode>_(* #,##0_);_(* \(#,##0\);_(* "-"??_);_(@_)</c:formatCode>
                <c:ptCount val="10"/>
                <c:pt idx="0">
                  <c:v>46757.5</c:v>
                </c:pt>
                <c:pt idx="1">
                  <c:v>49397</c:v>
                </c:pt>
                <c:pt idx="2">
                  <c:v>55326</c:v>
                </c:pt>
                <c:pt idx="3">
                  <c:v>55155</c:v>
                </c:pt>
                <c:pt idx="4">
                  <c:v>67119</c:v>
                </c:pt>
                <c:pt idx="5">
                  <c:v>65137</c:v>
                </c:pt>
                <c:pt idx="6">
                  <c:v>72016</c:v>
                </c:pt>
                <c:pt idx="7">
                  <c:v>82080</c:v>
                </c:pt>
                <c:pt idx="8" formatCode="#,##0_);\(#,##0\)">
                  <c:v>79468</c:v>
                </c:pt>
                <c:pt idx="9" formatCode="#,##0_);\(#,##0\)">
                  <c:v>83517</c:v>
                </c:pt>
              </c:numCache>
            </c:numRef>
          </c:val>
          <c:smooth val="0"/>
        </c:ser>
        <c:ser>
          <c:idx val="9"/>
          <c:order val="9"/>
          <c:tx>
            <c:strRef>
              <c:f>'VII.1 Ocup. formal'!$A$13</c:f>
              <c:strCache>
                <c:ptCount val="1"/>
                <c:pt idx="0">
                  <c:v> Administración Pública y Defensa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formal'!$B$13:$N$13</c:f>
              <c:numCache>
                <c:formatCode>_(* #,##0_);_(* \(#,##0\);_(* "-"??_);_(@_)</c:formatCode>
                <c:ptCount val="10"/>
                <c:pt idx="0">
                  <c:v>147544.5</c:v>
                </c:pt>
                <c:pt idx="1">
                  <c:v>148907.5</c:v>
                </c:pt>
                <c:pt idx="2">
                  <c:v>152563.5</c:v>
                </c:pt>
                <c:pt idx="3">
                  <c:v>156837</c:v>
                </c:pt>
                <c:pt idx="4">
                  <c:v>164689</c:v>
                </c:pt>
                <c:pt idx="5">
                  <c:v>184575</c:v>
                </c:pt>
                <c:pt idx="6">
                  <c:v>189387</c:v>
                </c:pt>
                <c:pt idx="7">
                  <c:v>194986</c:v>
                </c:pt>
                <c:pt idx="8" formatCode="#,##0_);\(#,##0\)">
                  <c:v>194720</c:v>
                </c:pt>
                <c:pt idx="9" formatCode="#,##0_);\(#,##0\)">
                  <c:v>191598</c:v>
                </c:pt>
              </c:numCache>
            </c:numRef>
          </c:val>
          <c:smooth val="0"/>
        </c:ser>
        <c:ser>
          <c:idx val="10"/>
          <c:order val="10"/>
          <c:tx>
            <c:strRef>
              <c:f>'VII.1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formal'!$B$14:$N$14</c:f>
              <c:numCache>
                <c:formatCode>_(* #,##0_);_(* \(#,##0\);_(* "-"??_);_(@_)</c:formatCode>
                <c:ptCount val="10"/>
                <c:pt idx="0">
                  <c:v>401844.5</c:v>
                </c:pt>
                <c:pt idx="1">
                  <c:v>416197</c:v>
                </c:pt>
                <c:pt idx="2">
                  <c:v>433943.5</c:v>
                </c:pt>
                <c:pt idx="3">
                  <c:v>460813</c:v>
                </c:pt>
                <c:pt idx="4">
                  <c:v>507872</c:v>
                </c:pt>
                <c:pt idx="5">
                  <c:v>523323</c:v>
                </c:pt>
                <c:pt idx="6">
                  <c:v>552274</c:v>
                </c:pt>
                <c:pt idx="7">
                  <c:v>553281</c:v>
                </c:pt>
                <c:pt idx="8" formatCode="#,##0_);\(#,##0\)">
                  <c:v>588320</c:v>
                </c:pt>
                <c:pt idx="9" formatCode="#,##0_);\(#,##0\)">
                  <c:v>606440</c:v>
                </c:pt>
              </c:numCache>
            </c:numRef>
          </c:val>
          <c:smooth val="0"/>
        </c:ser>
        <c:dLbls>
          <c:showLegendKey val="0"/>
          <c:showVal val="0"/>
          <c:showCatName val="0"/>
          <c:showSerName val="0"/>
          <c:showPercent val="0"/>
          <c:showBubbleSize val="0"/>
        </c:dLbls>
        <c:smooth val="0"/>
        <c:axId val="893523208"/>
        <c:axId val="893523600"/>
      </c:lineChart>
      <c:catAx>
        <c:axId val="893523208"/>
        <c:scaling>
          <c:orientation val="minMax"/>
        </c:scaling>
        <c:delete val="0"/>
        <c:axPos val="b"/>
        <c:numFmt formatCode="General" sourceLinked="1"/>
        <c:majorTickMark val="none"/>
        <c:minorTickMark val="none"/>
        <c:tickLblPos val="nextTo"/>
        <c:txPr>
          <a:bodyPr/>
          <a:lstStyle/>
          <a:p>
            <a:pPr>
              <a:defRPr lang="en-US" sz="1050"/>
            </a:pPr>
            <a:endParaRPr lang="es-ES"/>
          </a:p>
        </c:txPr>
        <c:crossAx val="893523600"/>
        <c:crosses val="autoZero"/>
        <c:auto val="1"/>
        <c:lblAlgn val="ctr"/>
        <c:lblOffset val="100"/>
        <c:noMultiLvlLbl val="0"/>
      </c:catAx>
      <c:valAx>
        <c:axId val="893523600"/>
        <c:scaling>
          <c:orientation val="minMax"/>
        </c:scaling>
        <c:delete val="1"/>
        <c:axPos val="l"/>
        <c:numFmt formatCode="_(* #,##0_);_(* \(#,##0\);_(* &quot;-&quot;??_);_(@_)" sourceLinked="1"/>
        <c:majorTickMark val="out"/>
        <c:minorTickMark val="none"/>
        <c:tickLblPos val="nextTo"/>
        <c:crossAx val="893523208"/>
        <c:crosses val="autoZero"/>
        <c:crossBetween val="between"/>
      </c:valAx>
      <c:spPr>
        <a:ln>
          <a:noFill/>
        </a:ln>
      </c:spPr>
    </c:plotArea>
    <c:legend>
      <c:legendPos val="b"/>
      <c:layout>
        <c:manualLayout>
          <c:xMode val="edge"/>
          <c:yMode val="edge"/>
          <c:x val="3.4131269923439504E-2"/>
          <c:y val="0.1271085605828973"/>
          <c:w val="0.84787038298413386"/>
          <c:h val="9.9768123236856826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1902324818676586"/>
          <c:w val="0.86918077041966368"/>
          <c:h val="0.54721883369704682"/>
        </c:manualLayout>
      </c:layout>
      <c:lineChart>
        <c:grouping val="standard"/>
        <c:varyColors val="0"/>
        <c:ser>
          <c:idx val="0"/>
          <c:order val="0"/>
          <c:tx>
            <c:strRef>
              <c:f>'VII.2 Pob. econ.'!$B$3</c:f>
              <c:strCache>
                <c:ptCount val="1"/>
                <c:pt idx="0">
                  <c:v>Población Total</c:v>
                </c:pt>
              </c:strCache>
            </c:strRef>
          </c:tx>
          <c:dLbls>
            <c:dLbl>
              <c:idx val="8"/>
              <c:layout>
                <c:manualLayout>
                  <c:x val="8.8390858987943244E-2"/>
                  <c:y val="-1.82306819732896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9,880,505</a:t>
                    </a:r>
                    <a:endParaRPr lang="en-US" sz="11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econ.'!$B$4:$B$16</c:f>
              <c:numCache>
                <c:formatCode>#,##0</c:formatCode>
                <c:ptCount val="10"/>
                <c:pt idx="0">
                  <c:v>8968144</c:v>
                </c:pt>
                <c:pt idx="1">
                  <c:v>9072308</c:v>
                </c:pt>
                <c:pt idx="2">
                  <c:v>9175265</c:v>
                </c:pt>
                <c:pt idx="3">
                  <c:v>9277181</c:v>
                </c:pt>
                <c:pt idx="4">
                  <c:v>9378455</c:v>
                </c:pt>
                <c:pt idx="5">
                  <c:v>9478612</c:v>
                </c:pt>
                <c:pt idx="6">
                  <c:v>9579983</c:v>
                </c:pt>
                <c:pt idx="7">
                  <c:v>9680534</c:v>
                </c:pt>
                <c:pt idx="8">
                  <c:v>9780743</c:v>
                </c:pt>
                <c:pt idx="9">
                  <c:v>9880505</c:v>
                </c:pt>
              </c:numCache>
            </c:numRef>
          </c:val>
          <c:smooth val="0"/>
        </c:ser>
        <c:ser>
          <c:idx val="1"/>
          <c:order val="1"/>
          <c:tx>
            <c:strRef>
              <c:f>'VII.2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9.5483842514454201E-2"/>
                  <c:y val="-3.8091756679443241E-3"/>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8,571,213</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econ.'!$C$4:$C$16</c:f>
              <c:numCache>
                <c:formatCode>#,##0</c:formatCode>
                <c:ptCount val="10"/>
                <c:pt idx="0">
                  <c:v>7144758</c:v>
                </c:pt>
                <c:pt idx="1">
                  <c:v>7320436</c:v>
                </c:pt>
                <c:pt idx="2">
                  <c:v>7484808</c:v>
                </c:pt>
                <c:pt idx="3">
                  <c:v>7663945</c:v>
                </c:pt>
                <c:pt idx="4">
                  <c:v>7848901</c:v>
                </c:pt>
                <c:pt idx="5">
                  <c:v>7967202</c:v>
                </c:pt>
                <c:pt idx="6">
                  <c:v>8144337</c:v>
                </c:pt>
                <c:pt idx="7">
                  <c:v>8276419</c:v>
                </c:pt>
                <c:pt idx="8">
                  <c:v>8422139</c:v>
                </c:pt>
                <c:pt idx="9">
                  <c:v>8571213</c:v>
                </c:pt>
              </c:numCache>
            </c:numRef>
          </c:val>
          <c:smooth val="0"/>
        </c:ser>
        <c:ser>
          <c:idx val="2"/>
          <c:order val="2"/>
          <c:tx>
            <c:strRef>
              <c:f>'VII.2 Pob. econ.'!$D$3</c:f>
              <c:strCache>
                <c:ptCount val="1"/>
                <c:pt idx="0">
                  <c:v>Población  Económicamente Activa (PEA)</c:v>
                </c:pt>
              </c:strCache>
            </c:strRef>
          </c:tx>
          <c:dLbls>
            <c:dLbl>
              <c:idx val="8"/>
              <c:layout>
                <c:manualLayout>
                  <c:x val="0.10192428583512486"/>
                  <c:y val="-3.3212541425818247E-2"/>
                </c:manualLayout>
              </c:layout>
              <c:tx>
                <c:rich>
                  <a:bodyPr/>
                  <a:lstStyle/>
                  <a:p>
                    <a:r>
                      <a:rPr lang="en-US" sz="1050" b="1">
                        <a:solidFill>
                          <a:srgbClr val="00B050"/>
                        </a:solidFill>
                      </a:rPr>
                      <a:t>PEA </a:t>
                    </a:r>
                  </a:p>
                  <a:p>
                    <a:r>
                      <a:rPr lang="en-US" sz="1050" b="1">
                        <a:solidFill>
                          <a:srgbClr val="00B050"/>
                        </a:solidFill>
                      </a:rPr>
                      <a:t>4,913,588</a:t>
                    </a:r>
                    <a:endParaRPr lang="en-US" sz="11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econ.'!$D$4:$D$16</c:f>
              <c:numCache>
                <c:formatCode>#,##0</c:formatCode>
                <c:ptCount val="10"/>
                <c:pt idx="0">
                  <c:v>3992211</c:v>
                </c:pt>
                <c:pt idx="1">
                  <c:v>4100433</c:v>
                </c:pt>
                <c:pt idx="2">
                  <c:v>4202277</c:v>
                </c:pt>
                <c:pt idx="3">
                  <c:v>4256447</c:v>
                </c:pt>
                <c:pt idx="4">
                  <c:v>4221883</c:v>
                </c:pt>
                <c:pt idx="5">
                  <c:v>4378866</c:v>
                </c:pt>
                <c:pt idx="6">
                  <c:v>4580813</c:v>
                </c:pt>
                <c:pt idx="7">
                  <c:v>4677824</c:v>
                </c:pt>
                <c:pt idx="8">
                  <c:v>4728655</c:v>
                </c:pt>
                <c:pt idx="9">
                  <c:v>4913588</c:v>
                </c:pt>
              </c:numCache>
            </c:numRef>
          </c:val>
          <c:smooth val="0"/>
        </c:ser>
        <c:ser>
          <c:idx val="3"/>
          <c:order val="3"/>
          <c:tx>
            <c:strRef>
              <c:f>'VII.2 Pob. econ.'!$E$3</c:f>
              <c:strCache>
                <c:ptCount val="1"/>
                <c:pt idx="0">
                  <c:v>Ocupada</c:v>
                </c:pt>
              </c:strCache>
            </c:strRef>
          </c:tx>
          <c:dLbls>
            <c:dLbl>
              <c:idx val="8"/>
              <c:layout>
                <c:manualLayout>
                  <c:x val="9.3070862017965952E-2"/>
                  <c:y val="-3.5051026428242569E-3"/>
                </c:manualLayout>
              </c:layout>
              <c:tx>
                <c:rich>
                  <a:bodyPr/>
                  <a:lstStyle/>
                  <a:p>
                    <a:r>
                      <a:rPr lang="en-US" sz="1050" b="1">
                        <a:solidFill>
                          <a:srgbClr val="7030A0"/>
                        </a:solidFill>
                      </a:rPr>
                      <a:t>Población Ocupada</a:t>
                    </a:r>
                  </a:p>
                  <a:p>
                    <a:r>
                      <a:rPr lang="en-US" sz="1050" b="1">
                        <a:solidFill>
                          <a:srgbClr val="7030A0"/>
                        </a:solidFill>
                      </a:rPr>
                      <a:t>4,199,885</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econ.'!$E$4:$E$16</c:f>
              <c:numCache>
                <c:formatCode>#,##0</c:formatCode>
                <c:ptCount val="10"/>
                <c:pt idx="0">
                  <c:v>3276373</c:v>
                </c:pt>
                <c:pt idx="1">
                  <c:v>3435086</c:v>
                </c:pt>
                <c:pt idx="2">
                  <c:v>3548304</c:v>
                </c:pt>
                <c:pt idx="3">
                  <c:v>3653946</c:v>
                </c:pt>
                <c:pt idx="4">
                  <c:v>3593988</c:v>
                </c:pt>
                <c:pt idx="5">
                  <c:v>3753529</c:v>
                </c:pt>
                <c:pt idx="6">
                  <c:v>3912405</c:v>
                </c:pt>
                <c:pt idx="7">
                  <c:v>3990748</c:v>
                </c:pt>
                <c:pt idx="8">
                  <c:v>4018420</c:v>
                </c:pt>
                <c:pt idx="9">
                  <c:v>4199885</c:v>
                </c:pt>
              </c:numCache>
            </c:numRef>
          </c:val>
          <c:smooth val="0"/>
        </c:ser>
        <c:ser>
          <c:idx val="4"/>
          <c:order val="4"/>
          <c:tx>
            <c:strRef>
              <c:f>'VII.2 Pob. econ.'!$F$3</c:f>
              <c:strCache>
                <c:ptCount val="1"/>
                <c:pt idx="0">
                  <c:v>Ocupada Formal</c:v>
                </c:pt>
              </c:strCache>
            </c:strRef>
          </c:tx>
          <c:dLbls>
            <c:dLbl>
              <c:idx val="8"/>
              <c:layout>
                <c:manualLayout>
                  <c:x val="9.4964517222149936E-2"/>
                  <c:y val="2.3753060974243363E-2"/>
                </c:manualLayout>
              </c:layout>
              <c:tx>
                <c:rich>
                  <a:bodyPr/>
                  <a:lstStyle/>
                  <a:p>
                    <a:r>
                      <a:rPr lang="en-US" sz="1050" b="1">
                        <a:solidFill>
                          <a:srgbClr val="0070C0"/>
                        </a:solidFill>
                      </a:rPr>
                      <a:t>Ocupada Formal</a:t>
                    </a:r>
                  </a:p>
                  <a:p>
                    <a:r>
                      <a:rPr lang="en-US" sz="1050" b="1">
                        <a:solidFill>
                          <a:srgbClr val="0070C0"/>
                        </a:solidFill>
                      </a:rPr>
                      <a:t>1,865,496</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econ.'!$F$4:$F$16</c:f>
              <c:numCache>
                <c:formatCode>#,##0</c:formatCode>
                <c:ptCount val="10"/>
                <c:pt idx="0">
                  <c:v>1437260</c:v>
                </c:pt>
                <c:pt idx="1">
                  <c:v>1505582.5</c:v>
                </c:pt>
                <c:pt idx="2">
                  <c:v>1571911.5</c:v>
                </c:pt>
                <c:pt idx="3">
                  <c:v>1566047</c:v>
                </c:pt>
                <c:pt idx="4">
                  <c:v>1560994</c:v>
                </c:pt>
                <c:pt idx="5">
                  <c:v>1631129</c:v>
                </c:pt>
                <c:pt idx="6">
                  <c:v>1686216</c:v>
                </c:pt>
                <c:pt idx="7">
                  <c:v>1716228</c:v>
                </c:pt>
                <c:pt idx="8">
                  <c:v>1769801</c:v>
                </c:pt>
                <c:pt idx="9">
                  <c:v>1865496</c:v>
                </c:pt>
              </c:numCache>
            </c:numRef>
          </c:val>
          <c:smooth val="0"/>
        </c:ser>
        <c:ser>
          <c:idx val="5"/>
          <c:order val="5"/>
          <c:tx>
            <c:strRef>
              <c:f>'VII.2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9.2124120553756322E-2"/>
                  <c:y val="-2.158207872913348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2,334,389</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econ.'!$G$4:$G$16</c:f>
              <c:numCache>
                <c:formatCode>#,##0</c:formatCode>
                <c:ptCount val="10"/>
                <c:pt idx="0">
                  <c:v>1839113</c:v>
                </c:pt>
                <c:pt idx="1">
                  <c:v>1929503.5</c:v>
                </c:pt>
                <c:pt idx="2">
                  <c:v>1976392.5</c:v>
                </c:pt>
                <c:pt idx="3">
                  <c:v>2087899</c:v>
                </c:pt>
                <c:pt idx="4">
                  <c:v>2032994</c:v>
                </c:pt>
                <c:pt idx="5">
                  <c:v>2122400</c:v>
                </c:pt>
                <c:pt idx="6">
                  <c:v>2226189</c:v>
                </c:pt>
                <c:pt idx="7">
                  <c:v>2274520</c:v>
                </c:pt>
                <c:pt idx="8">
                  <c:v>2248619</c:v>
                </c:pt>
                <c:pt idx="9">
                  <c:v>2334389</c:v>
                </c:pt>
              </c:numCache>
            </c:numRef>
          </c:val>
          <c:smooth val="0"/>
        </c:ser>
        <c:dLbls>
          <c:showLegendKey val="0"/>
          <c:showVal val="0"/>
          <c:showCatName val="0"/>
          <c:showSerName val="0"/>
          <c:showPercent val="0"/>
          <c:showBubbleSize val="0"/>
        </c:dLbls>
        <c:marker val="1"/>
        <c:smooth val="0"/>
        <c:axId val="893524384"/>
        <c:axId val="893524776"/>
      </c:lineChart>
      <c:catAx>
        <c:axId val="893524384"/>
        <c:scaling>
          <c:orientation val="minMax"/>
        </c:scaling>
        <c:delete val="0"/>
        <c:axPos val="b"/>
        <c:numFmt formatCode="General" sourceLinked="1"/>
        <c:majorTickMark val="none"/>
        <c:minorTickMark val="none"/>
        <c:tickLblPos val="nextTo"/>
        <c:txPr>
          <a:bodyPr/>
          <a:lstStyle/>
          <a:p>
            <a:pPr>
              <a:defRPr lang="en-US" sz="1200"/>
            </a:pPr>
            <a:endParaRPr lang="es-ES"/>
          </a:p>
        </c:txPr>
        <c:crossAx val="893524776"/>
        <c:crosses val="autoZero"/>
        <c:auto val="1"/>
        <c:lblAlgn val="ctr"/>
        <c:lblOffset val="100"/>
        <c:noMultiLvlLbl val="0"/>
      </c:catAx>
      <c:valAx>
        <c:axId val="893524776"/>
        <c:scaling>
          <c:orientation val="minMax"/>
          <c:max val="10000000"/>
          <c:min val="0"/>
        </c:scaling>
        <c:delete val="1"/>
        <c:axPos val="l"/>
        <c:numFmt formatCode="#,##0" sourceLinked="1"/>
        <c:majorTickMark val="out"/>
        <c:minorTickMark val="none"/>
        <c:tickLblPos val="nextTo"/>
        <c:crossAx val="893524384"/>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 VIII.1.a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Definiciones'!$I$3:$I$11</c:f>
              <c:numCache>
                <c:formatCode>_([$€-2]* #,##0_);_([$€-2]* \(#,##0\);_([$€-2]* "-"??_)</c:formatCode>
                <c:ptCount val="9"/>
              </c:numCache>
            </c:numRef>
          </c:val>
        </c:ser>
        <c:ser>
          <c:idx val="1"/>
          <c:order val="1"/>
          <c:tx>
            <c:strRef>
              <c:f>' VIII.1.a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Definiciones'!$J$3:$J$11</c:f>
              <c:numCache>
                <c:formatCode>_([$€-2]* #,##0_);_([$€-2]* \(#,##0\);_([$€-2]* "-"??_)</c:formatCode>
                <c:ptCount val="9"/>
              </c:numCache>
            </c:numRef>
          </c:val>
        </c:ser>
        <c:ser>
          <c:idx val="2"/>
          <c:order val="2"/>
          <c:tx>
            <c:strRef>
              <c:f>' VIII.1.a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893525560"/>
        <c:axId val="893525952"/>
        <c:axId val="0"/>
      </c:bar3DChart>
      <c:catAx>
        <c:axId val="893525560"/>
        <c:scaling>
          <c:orientation val="minMax"/>
        </c:scaling>
        <c:delete val="0"/>
        <c:axPos val="b"/>
        <c:numFmt formatCode="_([$€-2]* #,##0_);_([$€-2]* \(#,##0\);_([$€-2]* &quot;-&quot;??_)" sourceLinked="1"/>
        <c:majorTickMark val="none"/>
        <c:minorTickMark val="none"/>
        <c:tickLblPos val="nextTo"/>
        <c:crossAx val="893525952"/>
        <c:crosses val="autoZero"/>
        <c:auto val="1"/>
        <c:lblAlgn val="ctr"/>
        <c:lblOffset val="100"/>
        <c:noMultiLvlLbl val="0"/>
      </c:catAx>
      <c:valAx>
        <c:axId val="893525952"/>
        <c:scaling>
          <c:orientation val="minMax"/>
        </c:scaling>
        <c:delete val="0"/>
        <c:axPos val="l"/>
        <c:numFmt formatCode="_([$€-2]* #,##0_);_([$€-2]* \(#,##0\);_([$€-2]* &quot;-&quot;??_)" sourceLinked="1"/>
        <c:majorTickMark val="none"/>
        <c:minorTickMark val="none"/>
        <c:tickLblPos val="none"/>
        <c:spPr>
          <a:ln w="9525">
            <a:noFill/>
          </a:ln>
        </c:spPr>
        <c:crossAx val="893525560"/>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 VIII.1.a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Definiciones'!$E$3:$E$11</c:f>
              <c:numCache>
                <c:formatCode>_([$€-2]* #,##0_);_([$€-2]* \(#,##0\);_([$€-2]* "-"??_)</c:formatCode>
                <c:ptCount val="9"/>
              </c:numCache>
            </c:numRef>
          </c:val>
        </c:ser>
        <c:ser>
          <c:idx val="1"/>
          <c:order val="1"/>
          <c:tx>
            <c:strRef>
              <c:f>' VIII.1.a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893526736"/>
        <c:axId val="893527128"/>
        <c:axId val="0"/>
      </c:bar3DChart>
      <c:catAx>
        <c:axId val="893526736"/>
        <c:scaling>
          <c:orientation val="minMax"/>
        </c:scaling>
        <c:delete val="0"/>
        <c:axPos val="b"/>
        <c:title>
          <c:overlay val="0"/>
        </c:title>
        <c:numFmt formatCode="_([$€-2]* #,##0_);_([$€-2]* \(#,##0\);_([$€-2]* &quot;-&quot;??_)" sourceLinked="1"/>
        <c:majorTickMark val="none"/>
        <c:minorTickMark val="none"/>
        <c:tickLblPos val="nextTo"/>
        <c:crossAx val="893527128"/>
        <c:crosses val="autoZero"/>
        <c:auto val="1"/>
        <c:lblAlgn val="ctr"/>
        <c:lblOffset val="100"/>
        <c:noMultiLvlLbl val="0"/>
      </c:catAx>
      <c:valAx>
        <c:axId val="893527128"/>
        <c:scaling>
          <c:orientation val="minMax"/>
        </c:scaling>
        <c:delete val="0"/>
        <c:axPos val="l"/>
        <c:title>
          <c:overlay val="0"/>
        </c:title>
        <c:numFmt formatCode="_([$€-2]* #,##0_);_([$€-2]* \(#,##0\);_([$€-2]* &quot;-&quot;??_)" sourceLinked="1"/>
        <c:majorTickMark val="out"/>
        <c:minorTickMark val="none"/>
        <c:tickLblPos val="nextTo"/>
        <c:crossAx val="893526736"/>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2859348463797E-2"/>
          <c:w val="0.43931066309019068"/>
          <c:h val="7.5345499459626375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 VIII.1.a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Definiciones'!$E$3:$E$11</c:f>
              <c:numCache>
                <c:formatCode>_([$€-2]* #,##0_);_([$€-2]* \(#,##0\);_([$€-2]* "-"??_)</c:formatCode>
                <c:ptCount val="9"/>
              </c:numCache>
            </c:numRef>
          </c:val>
          <c:smooth val="0"/>
        </c:ser>
        <c:ser>
          <c:idx val="1"/>
          <c:order val="1"/>
          <c:tx>
            <c:strRef>
              <c:f>' VIII.1.a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893527912"/>
        <c:axId val="893528304"/>
      </c:lineChart>
      <c:catAx>
        <c:axId val="893527912"/>
        <c:scaling>
          <c:orientation val="minMax"/>
        </c:scaling>
        <c:delete val="0"/>
        <c:axPos val="b"/>
        <c:numFmt formatCode="_([$€-2]* #,##0_);_([$€-2]* \(#,##0\);_([$€-2]* &quot;-&quot;??_)" sourceLinked="1"/>
        <c:majorTickMark val="none"/>
        <c:minorTickMark val="none"/>
        <c:tickLblPos val="nextTo"/>
        <c:crossAx val="893528304"/>
        <c:crosses val="autoZero"/>
        <c:auto val="1"/>
        <c:lblAlgn val="ctr"/>
        <c:lblOffset val="100"/>
        <c:noMultiLvlLbl val="0"/>
      </c:catAx>
      <c:valAx>
        <c:axId val="893528304"/>
        <c:scaling>
          <c:orientation val="minMax"/>
        </c:scaling>
        <c:delete val="0"/>
        <c:axPos val="l"/>
        <c:numFmt formatCode="_([$€-2]* #,##0_);_([$€-2]* \(#,##0\);_([$€-2]* &quot;-&quot;??_)" sourceLinked="1"/>
        <c:majorTickMark val="none"/>
        <c:minorTickMark val="none"/>
        <c:tickLblPos val="nextTo"/>
        <c:spPr>
          <a:ln w="9525">
            <a:noFill/>
          </a:ln>
        </c:spPr>
        <c:crossAx val="893527912"/>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overlay val="0"/>
      <c:spPr>
        <a:ln>
          <a:noFill/>
        </a:ln>
      </c:spPr>
    </c:title>
    <c:autoTitleDeleted val="0"/>
    <c:plotArea>
      <c:layout>
        <c:manualLayout>
          <c:layoutTarget val="inner"/>
          <c:xMode val="edge"/>
          <c:yMode val="edge"/>
          <c:x val="3.5320489255392967E-2"/>
          <c:y val="0.16851807985316797"/>
          <c:w val="0.92982679735783258"/>
          <c:h val="0.73588442388913833"/>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'III.2.3. Afil. SFS RC Mensual'!$B$4:$B$16</c:f>
              <c:numCache>
                <c:formatCode>#,##0</c:formatCode>
                <c:ptCount val="13"/>
                <c:pt idx="0">
                  <c:v>1374315</c:v>
                </c:pt>
                <c:pt idx="1">
                  <c:v>1375864</c:v>
                </c:pt>
                <c:pt idx="2">
                  <c:v>1390935</c:v>
                </c:pt>
                <c:pt idx="3">
                  <c:v>1391699</c:v>
                </c:pt>
                <c:pt idx="4">
                  <c:v>1400550</c:v>
                </c:pt>
                <c:pt idx="5">
                  <c:v>1417590</c:v>
                </c:pt>
                <c:pt idx="6">
                  <c:v>1422986</c:v>
                </c:pt>
                <c:pt idx="7">
                  <c:v>1426010</c:v>
                </c:pt>
                <c:pt idx="8">
                  <c:v>1423951</c:v>
                </c:pt>
                <c:pt idx="9">
                  <c:v>1434238</c:v>
                </c:pt>
                <c:pt idx="10">
                  <c:v>1461443</c:v>
                </c:pt>
                <c:pt idx="11">
                  <c:v>1477288</c:v>
                </c:pt>
                <c:pt idx="12">
                  <c:v>1485480</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'III.2.3. Afil. SFS RC Mensual'!$C$4:$C$16</c:f>
              <c:numCache>
                <c:formatCode>#,##0</c:formatCode>
                <c:ptCount val="13"/>
                <c:pt idx="0">
                  <c:v>1656102</c:v>
                </c:pt>
                <c:pt idx="1">
                  <c:v>1661532</c:v>
                </c:pt>
                <c:pt idx="2">
                  <c:v>1678476</c:v>
                </c:pt>
                <c:pt idx="3">
                  <c:v>1688073</c:v>
                </c:pt>
                <c:pt idx="4">
                  <c:v>1701350</c:v>
                </c:pt>
                <c:pt idx="5">
                  <c:v>1710872</c:v>
                </c:pt>
                <c:pt idx="6">
                  <c:v>1718613</c:v>
                </c:pt>
                <c:pt idx="7">
                  <c:v>1729358</c:v>
                </c:pt>
                <c:pt idx="8">
                  <c:v>1733404</c:v>
                </c:pt>
                <c:pt idx="9">
                  <c:v>1761412</c:v>
                </c:pt>
                <c:pt idx="10">
                  <c:v>1778444</c:v>
                </c:pt>
                <c:pt idx="11">
                  <c:v>1792702</c:v>
                </c:pt>
                <c:pt idx="12">
                  <c:v>1799501</c:v>
                </c:pt>
              </c:numCache>
            </c:numRef>
          </c:val>
        </c:ser>
        <c:dLbls>
          <c:showLegendKey val="0"/>
          <c:showVal val="0"/>
          <c:showCatName val="0"/>
          <c:showSerName val="0"/>
          <c:showPercent val="0"/>
          <c:showBubbleSize val="0"/>
        </c:dLbls>
        <c:gapWidth val="17"/>
        <c:axId val="877090360"/>
        <c:axId val="877090752"/>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2785389256559689E-4"/>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8835616776967906E-3"/>
                  <c:y val="6.8535833110389506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6.2785389256559689E-4"/>
                  <c:y val="-1.719815266379476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'III.2.3. Afil. SFS RC Mensual'!$G$4:$G$16</c:f>
              <c:numCache>
                <c:formatCode>0.00</c:formatCode>
                <c:ptCount val="13"/>
                <c:pt idx="0">
                  <c:v>1.2050381462765087</c:v>
                </c:pt>
                <c:pt idx="1">
                  <c:v>1.2076280795194874</c:v>
                </c:pt>
                <c:pt idx="2">
                  <c:v>1.206724972770115</c:v>
                </c:pt>
                <c:pt idx="3">
                  <c:v>1.2129584055172851</c:v>
                </c:pt>
                <c:pt idx="4">
                  <c:v>1.2147727678412052</c:v>
                </c:pt>
                <c:pt idx="5">
                  <c:v>1.2068877461043037</c:v>
                </c:pt>
                <c:pt idx="6">
                  <c:v>1.2077511655068989</c:v>
                </c:pt>
                <c:pt idx="7">
                  <c:v>1.2127250159536047</c:v>
                </c:pt>
                <c:pt idx="8">
                  <c:v>1.2173199780048611</c:v>
                </c:pt>
                <c:pt idx="9">
                  <c:v>1.2281169513009695</c:v>
                </c:pt>
                <c:pt idx="10">
                  <c:v>1.2169095886736603</c:v>
                </c:pt>
                <c:pt idx="11">
                  <c:v>1.2135088080320153</c:v>
                </c:pt>
                <c:pt idx="12">
                  <c:v>1.211393623609877</c:v>
                </c:pt>
              </c:numCache>
            </c:numRef>
          </c:val>
          <c:smooth val="0"/>
        </c:ser>
        <c:dLbls>
          <c:showLegendKey val="0"/>
          <c:showVal val="0"/>
          <c:showCatName val="0"/>
          <c:showSerName val="0"/>
          <c:showPercent val="0"/>
          <c:showBubbleSize val="0"/>
        </c:dLbls>
        <c:marker val="1"/>
        <c:smooth val="0"/>
        <c:axId val="877091536"/>
        <c:axId val="877091144"/>
      </c:lineChart>
      <c:catAx>
        <c:axId val="877090360"/>
        <c:scaling>
          <c:orientation val="minMax"/>
        </c:scaling>
        <c:delete val="0"/>
        <c:axPos val="b"/>
        <c:numFmt formatCode="General" sourceLinked="1"/>
        <c:majorTickMark val="none"/>
        <c:minorTickMark val="none"/>
        <c:tickLblPos val="nextTo"/>
        <c:txPr>
          <a:bodyPr/>
          <a:lstStyle/>
          <a:p>
            <a:pPr>
              <a:defRPr sz="1600"/>
            </a:pPr>
            <a:endParaRPr lang="es-ES"/>
          </a:p>
        </c:txPr>
        <c:crossAx val="877090752"/>
        <c:crosses val="autoZero"/>
        <c:auto val="1"/>
        <c:lblAlgn val="ctr"/>
        <c:lblOffset val="100"/>
        <c:noMultiLvlLbl val="0"/>
      </c:catAx>
      <c:valAx>
        <c:axId val="877090752"/>
        <c:scaling>
          <c:orientation val="minMax"/>
        </c:scaling>
        <c:delete val="0"/>
        <c:axPos val="l"/>
        <c:numFmt formatCode="#,##0" sourceLinked="1"/>
        <c:majorTickMark val="none"/>
        <c:minorTickMark val="none"/>
        <c:tickLblPos val="nextTo"/>
        <c:spPr>
          <a:ln w="9525">
            <a:noFill/>
          </a:ln>
        </c:spPr>
        <c:crossAx val="877090360"/>
        <c:crosses val="autoZero"/>
        <c:crossBetween val="between"/>
      </c:valAx>
      <c:valAx>
        <c:axId val="877091144"/>
        <c:scaling>
          <c:orientation val="minMax"/>
        </c:scaling>
        <c:delete val="0"/>
        <c:axPos val="r"/>
        <c:numFmt formatCode="0.00" sourceLinked="1"/>
        <c:majorTickMark val="out"/>
        <c:minorTickMark val="none"/>
        <c:tickLblPos val="nextTo"/>
        <c:crossAx val="877091536"/>
        <c:crosses val="max"/>
        <c:crossBetween val="between"/>
      </c:valAx>
      <c:catAx>
        <c:axId val="877091536"/>
        <c:scaling>
          <c:orientation val="minMax"/>
        </c:scaling>
        <c:delete val="1"/>
        <c:axPos val="b"/>
        <c:numFmt formatCode="General" sourceLinked="1"/>
        <c:majorTickMark val="out"/>
        <c:minorTickMark val="none"/>
        <c:tickLblPos val="nextTo"/>
        <c:crossAx val="877091144"/>
        <c:crosses val="autoZero"/>
        <c:auto val="1"/>
        <c:lblAlgn val="ctr"/>
        <c:lblOffset val="100"/>
        <c:noMultiLvlLbl val="0"/>
      </c:catAx>
    </c:plotArea>
    <c:legend>
      <c:legendPos val="t"/>
      <c:layout>
        <c:manualLayout>
          <c:xMode val="edge"/>
          <c:yMode val="edge"/>
          <c:x val="0.21075403967126954"/>
          <c:y val="8.308512316824071E-2"/>
          <c:w val="0.57158552783923933"/>
          <c:h val="6.8418026349098507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88085393703734"/>
          <c:y val="2.5786305141480191E-2"/>
        </c:manualLayout>
      </c:layout>
      <c:overlay val="0"/>
    </c:title>
    <c:autoTitleDeleted val="0"/>
    <c:plotArea>
      <c:layout>
        <c:manualLayout>
          <c:layoutTarget val="inner"/>
          <c:xMode val="edge"/>
          <c:yMode val="edge"/>
          <c:x val="4.2107155756507135E-2"/>
          <c:y val="0.21050916333014399"/>
          <c:w val="0.91179508240110219"/>
          <c:h val="0.69614515571465929"/>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Jun.2015</c:v>
                </c:pt>
              </c:strCache>
            </c:strRef>
          </c:cat>
          <c:val>
            <c:numRef>
              <c:f>'III.2.4.Cob.Afil. SFS RC Anual'!$B$4:$B$12</c:f>
              <c:numCache>
                <c:formatCode>#,##0</c:formatCode>
                <c:ptCount val="9"/>
                <c:pt idx="0">
                  <c:v>1005990</c:v>
                </c:pt>
                <c:pt idx="1">
                  <c:v>992746</c:v>
                </c:pt>
                <c:pt idx="2">
                  <c:v>1084705</c:v>
                </c:pt>
                <c:pt idx="3">
                  <c:v>1183463</c:v>
                </c:pt>
                <c:pt idx="4">
                  <c:v>1224959</c:v>
                </c:pt>
                <c:pt idx="5">
                  <c:v>1270865</c:v>
                </c:pt>
                <c:pt idx="6">
                  <c:v>1353109</c:v>
                </c:pt>
                <c:pt idx="7">
                  <c:v>1451773</c:v>
                </c:pt>
                <c:pt idx="8">
                  <c:v>1516017</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Jun.2015</c:v>
                </c:pt>
              </c:strCache>
            </c:strRef>
          </c:cat>
          <c:val>
            <c:numRef>
              <c:f>'III.2.4.Cob.Afil. SFS RC Anual'!$C$4:$C$12</c:f>
              <c:numCache>
                <c:formatCode>#,##0</c:formatCode>
                <c:ptCount val="9"/>
                <c:pt idx="0">
                  <c:v>593477</c:v>
                </c:pt>
                <c:pt idx="1">
                  <c:v>736925</c:v>
                </c:pt>
                <c:pt idx="2">
                  <c:v>1011527</c:v>
                </c:pt>
                <c:pt idx="3">
                  <c:v>1234529</c:v>
                </c:pt>
                <c:pt idx="4">
                  <c:v>1361984</c:v>
                </c:pt>
                <c:pt idx="5">
                  <c:v>1476870</c:v>
                </c:pt>
                <c:pt idx="6">
                  <c:v>1612217</c:v>
                </c:pt>
                <c:pt idx="7">
                  <c:v>1773174</c:v>
                </c:pt>
                <c:pt idx="8">
                  <c:v>1843989</c:v>
                </c:pt>
              </c:numCache>
            </c:numRef>
          </c:val>
        </c:ser>
        <c:dLbls>
          <c:showLegendKey val="0"/>
          <c:showVal val="0"/>
          <c:showCatName val="0"/>
          <c:showSerName val="0"/>
          <c:showPercent val="0"/>
          <c:showBubbleSize val="0"/>
        </c:dLbls>
        <c:gapWidth val="54"/>
        <c:overlap val="-6"/>
        <c:axId val="877092320"/>
        <c:axId val="877092712"/>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0"/>
              <c:layout>
                <c:manualLayout>
                  <c:x val="-3.2822462698579954E-2"/>
                  <c:y val="2.7777774739963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5189963511592787E-2"/>
                  <c:y val="2.777777473996339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006213105086412E-2"/>
                  <c:y val="2.7777774739963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3414337901833117E-2"/>
                  <c:y val="2.916666347696145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5781838714845991E-2"/>
                  <c:y val="2.7777774739963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4006213105086454E-2"/>
                  <c:y val="3.333332968795606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6373713918099113E-2"/>
                  <c:y val="1.52777761069799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6373713918099196E-2"/>
                  <c:y val="2.361110852896883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6373713918099196E-2"/>
                  <c:y val="2.361110852896883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Jun.2015</c:v>
                </c:pt>
              </c:strCache>
            </c:strRef>
          </c:cat>
          <c:val>
            <c:numRef>
              <c:f>'III.2.4.Cob.Afil. SFS RC Anual'!$G$4:$G$12</c:f>
              <c:numCache>
                <c:formatCode>0.00</c:formatCode>
                <c:ptCount val="9"/>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1.2163379434399482</c:v>
                </c:pt>
              </c:numCache>
            </c:numRef>
          </c:val>
          <c:smooth val="0"/>
        </c:ser>
        <c:dLbls>
          <c:showLegendKey val="0"/>
          <c:showVal val="0"/>
          <c:showCatName val="0"/>
          <c:showSerName val="0"/>
          <c:showPercent val="0"/>
          <c:showBubbleSize val="0"/>
        </c:dLbls>
        <c:marker val="1"/>
        <c:smooth val="0"/>
        <c:axId val="877093496"/>
        <c:axId val="877093104"/>
      </c:lineChart>
      <c:catAx>
        <c:axId val="877092320"/>
        <c:scaling>
          <c:orientation val="minMax"/>
        </c:scaling>
        <c:delete val="0"/>
        <c:axPos val="b"/>
        <c:numFmt formatCode="General" sourceLinked="0"/>
        <c:majorTickMark val="none"/>
        <c:minorTickMark val="none"/>
        <c:tickLblPos val="nextTo"/>
        <c:txPr>
          <a:bodyPr/>
          <a:lstStyle/>
          <a:p>
            <a:pPr>
              <a:defRPr sz="1600"/>
            </a:pPr>
            <a:endParaRPr lang="es-ES"/>
          </a:p>
        </c:txPr>
        <c:crossAx val="877092712"/>
        <c:crosses val="autoZero"/>
        <c:auto val="1"/>
        <c:lblAlgn val="ctr"/>
        <c:lblOffset val="100"/>
        <c:noMultiLvlLbl val="0"/>
      </c:catAx>
      <c:valAx>
        <c:axId val="877092712"/>
        <c:scaling>
          <c:orientation val="minMax"/>
        </c:scaling>
        <c:delete val="0"/>
        <c:axPos val="l"/>
        <c:numFmt formatCode="#,##0" sourceLinked="1"/>
        <c:majorTickMark val="none"/>
        <c:minorTickMark val="none"/>
        <c:tickLblPos val="nextTo"/>
        <c:crossAx val="877092320"/>
        <c:crosses val="autoZero"/>
        <c:crossBetween val="between"/>
      </c:valAx>
      <c:valAx>
        <c:axId val="877093104"/>
        <c:scaling>
          <c:orientation val="minMax"/>
          <c:max val="2"/>
        </c:scaling>
        <c:delete val="0"/>
        <c:axPos val="r"/>
        <c:numFmt formatCode="0.00" sourceLinked="1"/>
        <c:majorTickMark val="out"/>
        <c:minorTickMark val="none"/>
        <c:tickLblPos val="nextTo"/>
        <c:txPr>
          <a:bodyPr/>
          <a:lstStyle/>
          <a:p>
            <a:pPr>
              <a:defRPr sz="1200"/>
            </a:pPr>
            <a:endParaRPr lang="es-ES"/>
          </a:p>
        </c:txPr>
        <c:crossAx val="877093496"/>
        <c:crosses val="max"/>
        <c:crossBetween val="between"/>
      </c:valAx>
      <c:catAx>
        <c:axId val="877093496"/>
        <c:scaling>
          <c:orientation val="minMax"/>
        </c:scaling>
        <c:delete val="1"/>
        <c:axPos val="b"/>
        <c:numFmt formatCode="General" sourceLinked="1"/>
        <c:majorTickMark val="out"/>
        <c:minorTickMark val="none"/>
        <c:tickLblPos val="nextTo"/>
        <c:crossAx val="877093104"/>
        <c:crosses val="autoZero"/>
        <c:auto val="1"/>
        <c:lblAlgn val="ctr"/>
        <c:lblOffset val="100"/>
        <c:noMultiLvlLbl val="0"/>
      </c:catAx>
    </c:plotArea>
    <c:legend>
      <c:legendPos val="t"/>
      <c:layout>
        <c:manualLayout>
          <c:xMode val="edge"/>
          <c:yMode val="edge"/>
          <c:x val="0.19752506241678486"/>
          <c:y val="7.5050500646071508E-2"/>
          <c:w val="0.60422942234901922"/>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38622547496831189"/>
          <c:y val="1.1000001154855764E-2"/>
        </c:manualLayout>
      </c:layout>
      <c:overlay val="0"/>
      <c:spPr>
        <a:ln>
          <a:noFill/>
        </a:ln>
      </c:spPr>
    </c:title>
    <c:autoTitleDeleted val="0"/>
    <c:plotArea>
      <c:layout>
        <c:manualLayout>
          <c:layoutTarget val="inner"/>
          <c:xMode val="edge"/>
          <c:yMode val="edge"/>
          <c:x val="4.0885380198342078E-2"/>
          <c:y val="0.29502628955546034"/>
          <c:w val="0.9184058645699924"/>
          <c:h val="0.59196831182691501"/>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 III.2.5.Cob.Afil.SFSRC Mens'!$B$4:$B$16</c:f>
              <c:numCache>
                <c:formatCode>#,##0</c:formatCode>
                <c:ptCount val="13"/>
                <c:pt idx="0">
                  <c:v>1414279</c:v>
                </c:pt>
                <c:pt idx="1">
                  <c:v>1404730</c:v>
                </c:pt>
                <c:pt idx="2">
                  <c:v>1430575</c:v>
                </c:pt>
                <c:pt idx="3">
                  <c:v>1422487</c:v>
                </c:pt>
                <c:pt idx="4">
                  <c:v>1434785</c:v>
                </c:pt>
                <c:pt idx="5">
                  <c:v>1448467</c:v>
                </c:pt>
                <c:pt idx="6">
                  <c:v>1451773</c:v>
                </c:pt>
                <c:pt idx="7">
                  <c:v>1459038</c:v>
                </c:pt>
                <c:pt idx="8">
                  <c:v>1460791</c:v>
                </c:pt>
                <c:pt idx="9">
                  <c:v>1482487</c:v>
                </c:pt>
                <c:pt idx="10">
                  <c:v>1507945</c:v>
                </c:pt>
                <c:pt idx="11">
                  <c:v>1511271</c:v>
                </c:pt>
                <c:pt idx="12">
                  <c:v>1516017</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a:lstStyle/>
              <a:p>
                <a:pPr>
                  <a:defRPr sz="16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 III.2.5.Cob.Afil.SFSRC Mens'!$C$4:$C$16</c:f>
              <c:numCache>
                <c:formatCode>#,##0</c:formatCode>
                <c:ptCount val="13"/>
                <c:pt idx="0">
                  <c:v>1698036</c:v>
                </c:pt>
                <c:pt idx="1">
                  <c:v>1698925</c:v>
                </c:pt>
                <c:pt idx="2">
                  <c:v>1730093</c:v>
                </c:pt>
                <c:pt idx="3">
                  <c:v>1725381</c:v>
                </c:pt>
                <c:pt idx="4">
                  <c:v>1744429</c:v>
                </c:pt>
                <c:pt idx="5">
                  <c:v>1752260</c:v>
                </c:pt>
                <c:pt idx="6">
                  <c:v>1773174</c:v>
                </c:pt>
                <c:pt idx="7">
                  <c:v>1778842</c:v>
                </c:pt>
                <c:pt idx="8">
                  <c:v>1787686</c:v>
                </c:pt>
                <c:pt idx="9">
                  <c:v>1831900</c:v>
                </c:pt>
                <c:pt idx="10">
                  <c:v>1822106</c:v>
                </c:pt>
                <c:pt idx="11">
                  <c:v>1837354</c:v>
                </c:pt>
                <c:pt idx="12">
                  <c:v>1843989</c:v>
                </c:pt>
              </c:numCache>
            </c:numRef>
          </c:val>
        </c:ser>
        <c:dLbls>
          <c:showLegendKey val="0"/>
          <c:showVal val="0"/>
          <c:showCatName val="0"/>
          <c:showSerName val="0"/>
          <c:showPercent val="0"/>
          <c:showBubbleSize val="0"/>
        </c:dLbls>
        <c:gapWidth val="30"/>
        <c:overlap val="-5"/>
        <c:axId val="877094280"/>
        <c:axId val="877094672"/>
      </c:barChart>
      <c:lineChart>
        <c:grouping val="standard"/>
        <c:varyColors val="0"/>
        <c:ser>
          <c:idx val="2"/>
          <c:order val="2"/>
          <c:tx>
            <c:strRef>
              <c:f>' III.2.5.Cob.Afil.SFSRC Mens'!$G$3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 III.2.5.Cob.Afil.SFSRC Mens'!$G$4:$G$16</c:f>
              <c:numCache>
                <c:formatCode>0.00</c:formatCode>
                <c:ptCount val="13"/>
                <c:pt idx="0">
                  <c:v>1.2006372151463749</c:v>
                </c:pt>
                <c:pt idx="1">
                  <c:v>1.2094317057370456</c:v>
                </c:pt>
                <c:pt idx="2">
                  <c:v>1.2093689600335529</c:v>
                </c:pt>
                <c:pt idx="3">
                  <c:v>1.2129327016696814</c:v>
                </c:pt>
                <c:pt idx="4">
                  <c:v>1.2158121251616096</c:v>
                </c:pt>
                <c:pt idx="5">
                  <c:v>1.2097341534187525</c:v>
                </c:pt>
                <c:pt idx="6">
                  <c:v>1.2213851614543045</c:v>
                </c:pt>
                <c:pt idx="7">
                  <c:v>1.2191882596615029</c:v>
                </c:pt>
                <c:pt idx="8">
                  <c:v>1.223779445519585</c:v>
                </c:pt>
                <c:pt idx="9">
                  <c:v>1.235693803723068</c:v>
                </c:pt>
                <c:pt idx="10">
                  <c:v>1.2083371741011775</c:v>
                </c:pt>
                <c:pt idx="11">
                  <c:v>1.215767390494491</c:v>
                </c:pt>
                <c:pt idx="12">
                  <c:v>1.2163379434399482</c:v>
                </c:pt>
              </c:numCache>
            </c:numRef>
          </c:val>
          <c:smooth val="0"/>
        </c:ser>
        <c:dLbls>
          <c:showLegendKey val="0"/>
          <c:showVal val="0"/>
          <c:showCatName val="0"/>
          <c:showSerName val="0"/>
          <c:showPercent val="0"/>
          <c:showBubbleSize val="0"/>
        </c:dLbls>
        <c:marker val="1"/>
        <c:smooth val="0"/>
        <c:axId val="877095456"/>
        <c:axId val="877095064"/>
      </c:lineChart>
      <c:catAx>
        <c:axId val="877094280"/>
        <c:scaling>
          <c:orientation val="minMax"/>
        </c:scaling>
        <c:delete val="0"/>
        <c:axPos val="b"/>
        <c:numFmt formatCode="General" sourceLinked="1"/>
        <c:majorTickMark val="none"/>
        <c:minorTickMark val="none"/>
        <c:tickLblPos val="nextTo"/>
        <c:txPr>
          <a:bodyPr/>
          <a:lstStyle/>
          <a:p>
            <a:pPr>
              <a:defRPr sz="1600"/>
            </a:pPr>
            <a:endParaRPr lang="es-ES"/>
          </a:p>
        </c:txPr>
        <c:crossAx val="877094672"/>
        <c:crosses val="autoZero"/>
        <c:auto val="1"/>
        <c:lblAlgn val="ctr"/>
        <c:lblOffset val="100"/>
        <c:noMultiLvlLbl val="1"/>
      </c:catAx>
      <c:valAx>
        <c:axId val="877094672"/>
        <c:scaling>
          <c:orientation val="minMax"/>
        </c:scaling>
        <c:delete val="0"/>
        <c:axPos val="l"/>
        <c:numFmt formatCode="#,##0" sourceLinked="1"/>
        <c:majorTickMark val="none"/>
        <c:minorTickMark val="none"/>
        <c:tickLblPos val="nextTo"/>
        <c:spPr>
          <a:ln w="9525">
            <a:noFill/>
          </a:ln>
        </c:spPr>
        <c:crossAx val="877094280"/>
        <c:crosses val="autoZero"/>
        <c:crossBetween val="between"/>
      </c:valAx>
      <c:valAx>
        <c:axId val="877095064"/>
        <c:scaling>
          <c:orientation val="minMax"/>
          <c:max val="1.4"/>
        </c:scaling>
        <c:delete val="0"/>
        <c:axPos val="r"/>
        <c:numFmt formatCode="0.00" sourceLinked="1"/>
        <c:majorTickMark val="out"/>
        <c:minorTickMark val="none"/>
        <c:tickLblPos val="nextTo"/>
        <c:crossAx val="877095456"/>
        <c:crosses val="max"/>
        <c:crossBetween val="between"/>
      </c:valAx>
      <c:catAx>
        <c:axId val="877095456"/>
        <c:scaling>
          <c:orientation val="minMax"/>
        </c:scaling>
        <c:delete val="1"/>
        <c:axPos val="b"/>
        <c:numFmt formatCode="General" sourceLinked="1"/>
        <c:majorTickMark val="out"/>
        <c:minorTickMark val="none"/>
        <c:tickLblPos val="nextTo"/>
        <c:crossAx val="877095064"/>
        <c:crosses val="autoZero"/>
        <c:auto val="1"/>
        <c:lblAlgn val="ctr"/>
        <c:lblOffset val="100"/>
        <c:noMultiLvlLbl val="1"/>
      </c:catAx>
    </c:plotArea>
    <c:legend>
      <c:legendPos val="t"/>
      <c:layout>
        <c:manualLayout>
          <c:xMode val="edge"/>
          <c:yMode val="edge"/>
          <c:x val="0.1956223404962521"/>
          <c:y val="9.3472797382221681E-2"/>
          <c:w val="0.7043296602133533"/>
          <c:h val="6.4668448329714134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Segruro Familiar de  Salud del Régimen Contributivo por Sexo y Tipo de Afiliación</a:t>
            </a:r>
          </a:p>
        </c:rich>
      </c:tx>
      <c:layout>
        <c:manualLayout>
          <c:xMode val="edge"/>
          <c:yMode val="edge"/>
          <c:x val="0.19091730382458677"/>
          <c:y val="1.9781165074077324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4.9744453824414883E-3"/>
          <c:y val="0.1533718411123742"/>
          <c:w val="0.9746837036071524"/>
          <c:h val="0.63748556093199005"/>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sex.tipo'!$A$35</c:f>
              <c:strCache>
                <c:ptCount val="1"/>
                <c:pt idx="0">
                  <c:v>Jun.15</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372405243277107E-3"/>
                  <c:y val="-4.590807403272072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sex.tipo'!$B$35:$D$35,'III.2.6.Afil. SFS RC X sex.tipo'!$F$35:$H$35)</c:f>
              <c:numCache>
                <c:formatCode>#,##0</c:formatCode>
                <c:ptCount val="6"/>
                <c:pt idx="0">
                  <c:v>851859</c:v>
                </c:pt>
                <c:pt idx="1">
                  <c:v>743883</c:v>
                </c:pt>
                <c:pt idx="2">
                  <c:v>53339</c:v>
                </c:pt>
                <c:pt idx="3">
                  <c:v>633621</c:v>
                </c:pt>
                <c:pt idx="4">
                  <c:v>884878</c:v>
                </c:pt>
                <c:pt idx="5">
                  <c:v>117401</c:v>
                </c:pt>
              </c:numCache>
            </c:numRef>
          </c:val>
        </c:ser>
        <c:dLbls>
          <c:showLegendKey val="0"/>
          <c:showVal val="0"/>
          <c:showCatName val="0"/>
          <c:showSerName val="0"/>
          <c:showPercent val="0"/>
          <c:showBubbleSize val="0"/>
        </c:dLbls>
        <c:gapWidth val="75"/>
        <c:shape val="cylinder"/>
        <c:axId val="877096240"/>
        <c:axId val="877096632"/>
        <c:axId val="0"/>
      </c:bar3DChart>
      <c:catAx>
        <c:axId val="877096240"/>
        <c:scaling>
          <c:orientation val="minMax"/>
        </c:scaling>
        <c:delete val="0"/>
        <c:axPos val="b"/>
        <c:numFmt formatCode="General" sourceLinked="0"/>
        <c:majorTickMark val="none"/>
        <c:minorTickMark val="none"/>
        <c:tickLblPos val="nextTo"/>
        <c:txPr>
          <a:bodyPr/>
          <a:lstStyle/>
          <a:p>
            <a:pPr>
              <a:defRPr sz="1600" b="1"/>
            </a:pPr>
            <a:endParaRPr lang="es-ES"/>
          </a:p>
        </c:txPr>
        <c:crossAx val="877096632"/>
        <c:crosses val="autoZero"/>
        <c:auto val="1"/>
        <c:lblAlgn val="ctr"/>
        <c:lblOffset val="100"/>
        <c:noMultiLvlLbl val="0"/>
      </c:catAx>
      <c:valAx>
        <c:axId val="877096632"/>
        <c:scaling>
          <c:orientation val="minMax"/>
        </c:scaling>
        <c:delete val="1"/>
        <c:axPos val="l"/>
        <c:numFmt formatCode="#,##0" sourceLinked="1"/>
        <c:majorTickMark val="none"/>
        <c:minorTickMark val="none"/>
        <c:tickLblPos val="nextTo"/>
        <c:crossAx val="877096240"/>
        <c:crosses val="autoZero"/>
        <c:crossBetween val="between"/>
      </c:valAx>
    </c:plotArea>
    <c:legend>
      <c:legendPos val="t"/>
      <c:layout>
        <c:manualLayout>
          <c:xMode val="edge"/>
          <c:yMode val="edge"/>
          <c:x val="0.16921120030161613"/>
          <c:y val="8.9901348952397653E-2"/>
          <c:w val="0.64775560632431506"/>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Afiliación del Seguro Familiar de Salud del Régimen Subsidiado por Tipo</a:t>
            </a:r>
          </a:p>
        </c:rich>
      </c:tx>
      <c:layout>
        <c:manualLayout>
          <c:xMode val="edge"/>
          <c:yMode val="edge"/>
          <c:x val="0.29766888263690827"/>
          <c:y val="7.9340400496555104E-3"/>
        </c:manualLayout>
      </c:layout>
      <c:overlay val="0"/>
    </c:title>
    <c:autoTitleDeleted val="0"/>
    <c:plotArea>
      <c:layout>
        <c:manualLayout>
          <c:layoutTarget val="inner"/>
          <c:xMode val="edge"/>
          <c:yMode val="edge"/>
          <c:x val="7.605416020787803E-2"/>
          <c:y val="0.1577861010418973"/>
          <c:w val="0.85725810566277438"/>
          <c:h val="0.70007958581932261"/>
        </c:manualLayout>
      </c:layout>
      <c:barChart>
        <c:barDir val="col"/>
        <c:grouping val="clustered"/>
        <c:varyColors val="0"/>
        <c:ser>
          <c:idx val="1"/>
          <c:order val="0"/>
          <c:tx>
            <c:strRef>
              <c:f>'III.3.2. Afil anual SFS RS '!$C$3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9486473772407894E-3"/>
                  <c:y val="1.3473029986828316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Jun. 2015</c:v>
                </c:pt>
              </c:strCache>
            </c:strRef>
          </c:cat>
          <c:val>
            <c:numRef>
              <c:f>'III.3.2. Afil anual SFS RS '!$C$4:$C$14</c:f>
              <c:numCache>
                <c:formatCode>_(* #,##0_);_(* \(#,##0\);_(* "-"??_);_(@_)</c:formatCode>
                <c:ptCount val="11"/>
                <c:pt idx="0">
                  <c:v>147182</c:v>
                </c:pt>
                <c:pt idx="1">
                  <c:v>255339</c:v>
                </c:pt>
                <c:pt idx="2">
                  <c:v>608289</c:v>
                </c:pt>
                <c:pt idx="3">
                  <c:v>734949</c:v>
                </c:pt>
                <c:pt idx="4">
                  <c:v>782176</c:v>
                </c:pt>
                <c:pt idx="5">
                  <c:v>1110536</c:v>
                </c:pt>
                <c:pt idx="6">
                  <c:v>1119652</c:v>
                </c:pt>
                <c:pt idx="7">
                  <c:v>1125311</c:v>
                </c:pt>
                <c:pt idx="8">
                  <c:v>1183528</c:v>
                </c:pt>
                <c:pt idx="9">
                  <c:v>1220432</c:v>
                </c:pt>
                <c:pt idx="10">
                  <c:v>1210455</c:v>
                </c:pt>
              </c:numCache>
            </c:numRef>
          </c:val>
        </c:ser>
        <c:ser>
          <c:idx val="0"/>
          <c:order val="1"/>
          <c:tx>
            <c:strRef>
              <c:f>'III.3.2. Afil anual SFS RS '!$B$3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Jun. 2015</c:v>
                </c:pt>
              </c:strCache>
            </c:strRef>
          </c:cat>
          <c:val>
            <c:numRef>
              <c:f>'III.3.2. Afil anual SFS RS '!$B$4:$B$14</c:f>
              <c:numCache>
                <c:formatCode>_(* #,##0_);_(* \(#,##0\);_(* "-"??_);_(@_)</c:formatCode>
                <c:ptCount val="11"/>
                <c:pt idx="0">
                  <c:v>106192</c:v>
                </c:pt>
                <c:pt idx="1">
                  <c:v>258701</c:v>
                </c:pt>
                <c:pt idx="2">
                  <c:v>473647</c:v>
                </c:pt>
                <c:pt idx="3">
                  <c:v>489949</c:v>
                </c:pt>
                <c:pt idx="4">
                  <c:v>622049</c:v>
                </c:pt>
                <c:pt idx="5">
                  <c:v>903250</c:v>
                </c:pt>
                <c:pt idx="6">
                  <c:v>883775</c:v>
                </c:pt>
                <c:pt idx="7">
                  <c:v>1178040</c:v>
                </c:pt>
                <c:pt idx="8">
                  <c:v>1568225</c:v>
                </c:pt>
                <c:pt idx="9">
                  <c:v>1795214</c:v>
                </c:pt>
                <c:pt idx="10">
                  <c:v>1832898</c:v>
                </c:pt>
              </c:numCache>
            </c:numRef>
          </c:val>
        </c:ser>
        <c:dLbls>
          <c:showLegendKey val="0"/>
          <c:showVal val="0"/>
          <c:showCatName val="0"/>
          <c:showSerName val="0"/>
          <c:showPercent val="0"/>
          <c:showBubbleSize val="0"/>
        </c:dLbls>
        <c:gapWidth val="42"/>
        <c:overlap val="30"/>
        <c:axId val="877097024"/>
        <c:axId val="877105648"/>
      </c:barChart>
      <c:lineChart>
        <c:grouping val="standard"/>
        <c:varyColors val="0"/>
        <c:ser>
          <c:idx val="2"/>
          <c:order val="2"/>
          <c:tx>
            <c:strRef>
              <c:f>'III.3.2. Afil anual SFS RS '!$G$3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Jun. 2015</c:v>
                </c:pt>
              </c:strCache>
            </c:strRef>
          </c:cat>
          <c:val>
            <c:numRef>
              <c:f>'III.3.2. Afil anual SFS RS '!$G$4:$G$14</c:f>
              <c:numCache>
                <c:formatCode>_(* #,##0.00_);_(* \(#,##0.00\);_(* "-"??_);_(@_)</c:formatCode>
                <c:ptCount val="11"/>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0.66040499798679464</c:v>
                </c:pt>
              </c:numCache>
            </c:numRef>
          </c:val>
          <c:smooth val="0"/>
        </c:ser>
        <c:dLbls>
          <c:showLegendKey val="0"/>
          <c:showVal val="0"/>
          <c:showCatName val="0"/>
          <c:showSerName val="0"/>
          <c:showPercent val="0"/>
          <c:showBubbleSize val="0"/>
        </c:dLbls>
        <c:marker val="1"/>
        <c:smooth val="0"/>
        <c:axId val="877097808"/>
        <c:axId val="877097416"/>
      </c:lineChart>
      <c:catAx>
        <c:axId val="877097024"/>
        <c:scaling>
          <c:orientation val="minMax"/>
        </c:scaling>
        <c:delete val="0"/>
        <c:axPos val="b"/>
        <c:numFmt formatCode="General" sourceLinked="0"/>
        <c:majorTickMark val="none"/>
        <c:minorTickMark val="none"/>
        <c:tickLblPos val="nextTo"/>
        <c:txPr>
          <a:bodyPr/>
          <a:lstStyle/>
          <a:p>
            <a:pPr>
              <a:defRPr sz="1400"/>
            </a:pPr>
            <a:endParaRPr lang="es-ES"/>
          </a:p>
        </c:txPr>
        <c:crossAx val="877105648"/>
        <c:crosses val="autoZero"/>
        <c:auto val="1"/>
        <c:lblAlgn val="ctr"/>
        <c:lblOffset val="100"/>
        <c:noMultiLvlLbl val="0"/>
      </c:catAx>
      <c:valAx>
        <c:axId val="877105648"/>
        <c:scaling>
          <c:orientation val="minMax"/>
        </c:scaling>
        <c:delete val="0"/>
        <c:axPos val="l"/>
        <c:numFmt formatCode="_(* #,##0_);_(* \(#,##0\);_(* &quot;-&quot;??_);_(@_)" sourceLinked="1"/>
        <c:majorTickMark val="none"/>
        <c:minorTickMark val="none"/>
        <c:tickLblPos val="nextTo"/>
        <c:crossAx val="877097024"/>
        <c:crosses val="autoZero"/>
        <c:crossBetween val="between"/>
        <c:dispUnits>
          <c:builtInUnit val="thousands"/>
          <c:dispUnitsLbl>
            <c:layout>
              <c:manualLayout>
                <c:xMode val="edge"/>
                <c:yMode val="edge"/>
                <c:x val="5.841924424971022E-3"/>
                <c:y val="0.48578605718526852"/>
              </c:manualLayout>
            </c:layout>
          </c:dispUnitsLbl>
        </c:dispUnits>
      </c:valAx>
      <c:valAx>
        <c:axId val="877097416"/>
        <c:scaling>
          <c:orientation val="minMax"/>
          <c:max val="2"/>
        </c:scaling>
        <c:delete val="0"/>
        <c:axPos val="r"/>
        <c:numFmt formatCode="_(* #,##0.00_);_(* \(#,##0.00\);_(* &quot;-&quot;??_);_(@_)" sourceLinked="1"/>
        <c:majorTickMark val="out"/>
        <c:minorTickMark val="none"/>
        <c:tickLblPos val="nextTo"/>
        <c:crossAx val="877097808"/>
        <c:crosses val="max"/>
        <c:crossBetween val="between"/>
      </c:valAx>
      <c:catAx>
        <c:axId val="877097808"/>
        <c:scaling>
          <c:orientation val="minMax"/>
        </c:scaling>
        <c:delete val="1"/>
        <c:axPos val="b"/>
        <c:numFmt formatCode="General" sourceLinked="1"/>
        <c:majorTickMark val="out"/>
        <c:minorTickMark val="none"/>
        <c:tickLblPos val="nextTo"/>
        <c:crossAx val="877097416"/>
        <c:crosses val="autoZero"/>
        <c:auto val="1"/>
        <c:lblAlgn val="ctr"/>
        <c:lblOffset val="100"/>
        <c:noMultiLvlLbl val="0"/>
      </c:catAx>
    </c:plotArea>
    <c:legend>
      <c:legendPos val="t"/>
      <c:layout>
        <c:manualLayout>
          <c:xMode val="edge"/>
          <c:yMode val="edge"/>
          <c:x val="0.32420649376923394"/>
          <c:y val="6.2082250629853057E-2"/>
          <c:w val="0.36424851554520032"/>
          <c:h val="4.501844739663078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4497471675721172"/>
          <c:y val="3.5031744274034285E-2"/>
        </c:manualLayout>
      </c:layout>
      <c:overlay val="0"/>
    </c:title>
    <c:autoTitleDeleted val="0"/>
    <c:plotArea>
      <c:layout>
        <c:manualLayout>
          <c:layoutTarget val="inner"/>
          <c:xMode val="edge"/>
          <c:yMode val="edge"/>
          <c:x val="6.1896209611699372E-2"/>
          <c:y val="0.15673896629471809"/>
          <c:w val="0.89945820591174974"/>
          <c:h val="0.7154268961234963"/>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 III.3.3.Afil.mensual SFS RS '!$B$4:$B$16</c:f>
              <c:numCache>
                <c:formatCode>_(* #,##0_);_(* \(#,##0\);_(* "-"??_);_(@_)</c:formatCode>
                <c:ptCount val="13"/>
                <c:pt idx="0">
                  <c:v>1545541</c:v>
                </c:pt>
                <c:pt idx="1">
                  <c:v>1539520</c:v>
                </c:pt>
                <c:pt idx="2">
                  <c:v>1534933</c:v>
                </c:pt>
                <c:pt idx="3">
                  <c:v>1538413</c:v>
                </c:pt>
                <c:pt idx="4">
                  <c:v>1598142</c:v>
                </c:pt>
                <c:pt idx="5">
                  <c:v>1627454</c:v>
                </c:pt>
                <c:pt idx="6">
                  <c:v>1795214</c:v>
                </c:pt>
                <c:pt idx="7">
                  <c:v>1786117</c:v>
                </c:pt>
                <c:pt idx="8">
                  <c:v>1782070</c:v>
                </c:pt>
                <c:pt idx="9">
                  <c:v>1806581</c:v>
                </c:pt>
                <c:pt idx="10">
                  <c:v>1811780</c:v>
                </c:pt>
                <c:pt idx="11">
                  <c:v>1806574</c:v>
                </c:pt>
                <c:pt idx="12">
                  <c:v>1832898</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 III.3.3.Afil.mensual SFS RS '!$C$4:$C$16</c:f>
              <c:numCache>
                <c:formatCode>_(* #,##0_);_(* \(#,##0\);_(* "-"??_);_(@_)</c:formatCode>
                <c:ptCount val="13"/>
                <c:pt idx="0">
                  <c:v>1209278</c:v>
                </c:pt>
                <c:pt idx="1">
                  <c:v>1211525</c:v>
                </c:pt>
                <c:pt idx="2">
                  <c:v>1213460</c:v>
                </c:pt>
                <c:pt idx="3">
                  <c:v>1213532</c:v>
                </c:pt>
                <c:pt idx="4">
                  <c:v>1240613</c:v>
                </c:pt>
                <c:pt idx="5">
                  <c:v>1204555</c:v>
                </c:pt>
                <c:pt idx="6">
                  <c:v>1220432</c:v>
                </c:pt>
                <c:pt idx="7">
                  <c:v>1214864</c:v>
                </c:pt>
                <c:pt idx="8">
                  <c:v>1219963</c:v>
                </c:pt>
                <c:pt idx="9">
                  <c:v>1225984</c:v>
                </c:pt>
                <c:pt idx="10">
                  <c:v>1221857</c:v>
                </c:pt>
                <c:pt idx="11">
                  <c:v>1211157</c:v>
                </c:pt>
                <c:pt idx="12">
                  <c:v>1210455</c:v>
                </c:pt>
              </c:numCache>
            </c:numRef>
          </c:val>
        </c:ser>
        <c:dLbls>
          <c:showLegendKey val="0"/>
          <c:showVal val="0"/>
          <c:showCatName val="0"/>
          <c:showSerName val="0"/>
          <c:showPercent val="0"/>
          <c:showBubbleSize val="0"/>
        </c:dLbls>
        <c:gapWidth val="13"/>
        <c:axId val="877098592"/>
        <c:axId val="877098984"/>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 III.3.3.Afil.mensual SFS RS '!$E$4:$E$16</c:f>
              <c:numCache>
                <c:formatCode>0.00</c:formatCode>
                <c:ptCount val="13"/>
                <c:pt idx="0">
                  <c:v>0.78243022993243139</c:v>
                </c:pt>
                <c:pt idx="1">
                  <c:v>0.78694982851797968</c:v>
                </c:pt>
                <c:pt idx="2">
                  <c:v>0.79056219391986493</c:v>
                </c:pt>
                <c:pt idx="3">
                  <c:v>0.78882068729268406</c:v>
                </c:pt>
                <c:pt idx="4">
                  <c:v>0.77628458547488266</c:v>
                </c:pt>
                <c:pt idx="5">
                  <c:v>0.74014687972747617</c:v>
                </c:pt>
                <c:pt idx="6">
                  <c:v>0.67982535786819842</c:v>
                </c:pt>
                <c:pt idx="7">
                  <c:v>0.68017044796057591</c:v>
                </c:pt>
                <c:pt idx="8">
                  <c:v>0.68457636344251349</c:v>
                </c:pt>
                <c:pt idx="9">
                  <c:v>0.67862110804885034</c:v>
                </c:pt>
                <c:pt idx="10">
                  <c:v>0.67439589795670551</c:v>
                </c:pt>
                <c:pt idx="11">
                  <c:v>0.67041648999708836</c:v>
                </c:pt>
                <c:pt idx="12">
                  <c:v>0.66040499798679464</c:v>
                </c:pt>
              </c:numCache>
            </c:numRef>
          </c:val>
          <c:smooth val="0"/>
        </c:ser>
        <c:dLbls>
          <c:showLegendKey val="0"/>
          <c:showVal val="0"/>
          <c:showCatName val="0"/>
          <c:showSerName val="0"/>
          <c:showPercent val="0"/>
          <c:showBubbleSize val="0"/>
        </c:dLbls>
        <c:marker val="1"/>
        <c:smooth val="0"/>
        <c:axId val="877099768"/>
        <c:axId val="877099376"/>
      </c:lineChart>
      <c:catAx>
        <c:axId val="877098592"/>
        <c:scaling>
          <c:orientation val="minMax"/>
        </c:scaling>
        <c:delete val="0"/>
        <c:axPos val="b"/>
        <c:numFmt formatCode="General" sourceLinked="0"/>
        <c:majorTickMark val="none"/>
        <c:minorTickMark val="none"/>
        <c:tickLblPos val="nextTo"/>
        <c:crossAx val="877098984"/>
        <c:crosses val="autoZero"/>
        <c:auto val="1"/>
        <c:lblAlgn val="ctr"/>
        <c:lblOffset val="100"/>
        <c:noMultiLvlLbl val="0"/>
      </c:catAx>
      <c:valAx>
        <c:axId val="877098984"/>
        <c:scaling>
          <c:orientation val="minMax"/>
        </c:scaling>
        <c:delete val="0"/>
        <c:axPos val="l"/>
        <c:numFmt formatCode="_(* #,##0_);_(* \(#,##0\);_(* &quot;-&quot;??_);_(@_)" sourceLinked="1"/>
        <c:majorTickMark val="none"/>
        <c:minorTickMark val="none"/>
        <c:tickLblPos val="nextTo"/>
        <c:crossAx val="877098592"/>
        <c:crosses val="autoZero"/>
        <c:crossBetween val="between"/>
        <c:dispUnits>
          <c:builtInUnit val="thousands"/>
          <c:dispUnitsLbl>
            <c:layout>
              <c:manualLayout>
                <c:xMode val="edge"/>
                <c:yMode val="edge"/>
                <c:x val="1.0828647374547067E-3"/>
                <c:y val="0.47195036563477277"/>
              </c:manualLayout>
            </c:layout>
          </c:dispUnitsLbl>
        </c:dispUnits>
      </c:valAx>
      <c:valAx>
        <c:axId val="877099376"/>
        <c:scaling>
          <c:orientation val="minMax"/>
          <c:max val="2"/>
        </c:scaling>
        <c:delete val="0"/>
        <c:axPos val="r"/>
        <c:numFmt formatCode="0.00" sourceLinked="1"/>
        <c:majorTickMark val="out"/>
        <c:minorTickMark val="none"/>
        <c:tickLblPos val="nextTo"/>
        <c:crossAx val="877099768"/>
        <c:crosses val="max"/>
        <c:crossBetween val="between"/>
      </c:valAx>
      <c:catAx>
        <c:axId val="877099768"/>
        <c:scaling>
          <c:orientation val="minMax"/>
        </c:scaling>
        <c:delete val="1"/>
        <c:axPos val="b"/>
        <c:numFmt formatCode="General" sourceLinked="1"/>
        <c:majorTickMark val="out"/>
        <c:minorTickMark val="none"/>
        <c:tickLblPos val="nextTo"/>
        <c:crossAx val="877099376"/>
        <c:crosses val="autoZero"/>
        <c:auto val="1"/>
        <c:lblAlgn val="ctr"/>
        <c:lblOffset val="100"/>
        <c:noMultiLvlLbl val="0"/>
      </c:catAx>
    </c:plotArea>
    <c:legend>
      <c:legendPos val="t"/>
      <c:layout>
        <c:manualLayout>
          <c:xMode val="edge"/>
          <c:yMode val="edge"/>
          <c:x val="0.29125493161540195"/>
          <c:y val="8.1982613951163352E-2"/>
          <c:w val="0.43535437340299893"/>
          <c:h val="4.999947747799529E-2"/>
        </c:manualLayout>
      </c:layout>
      <c:overlay val="0"/>
      <c:txPr>
        <a:bodyPr/>
        <a:lstStyle/>
        <a:p>
          <a:pPr>
            <a:defRPr sz="105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6787319455880304"/>
          <c:y val="2.1753284380935441E-2"/>
        </c:manualLayout>
      </c:layout>
      <c:overlay val="0"/>
    </c:title>
    <c:autoTitleDeleted val="0"/>
    <c:plotArea>
      <c:layout>
        <c:manualLayout>
          <c:layoutTarget val="inner"/>
          <c:xMode val="edge"/>
          <c:yMode val="edge"/>
          <c:x val="6.0004964737791794E-2"/>
          <c:y val="0.14853207295153761"/>
          <c:w val="0.90497665345652412"/>
          <c:h val="0.76407846987522476"/>
        </c:manualLayout>
      </c:layout>
      <c:barChart>
        <c:barDir val="col"/>
        <c:grouping val="clustered"/>
        <c:varyColors val="0"/>
        <c:ser>
          <c:idx val="0"/>
          <c:order val="0"/>
          <c:tx>
            <c:strRef>
              <c:f>'III.3.4.Cob.Afil anual SFS RS'!$B$3:$B$4</c:f>
              <c:strCache>
                <c:ptCount val="2"/>
                <c:pt idx="0">
                  <c:v>Cobertura de Afiliación por Titulares </c:v>
                </c:pt>
                <c:pt idx="1">
                  <c:v> -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RS'!$A$5:$A$14</c:f>
              <c:strCache>
                <c:ptCount val="10"/>
                <c:pt idx="0">
                  <c:v>Dic. 2006</c:v>
                </c:pt>
                <c:pt idx="1">
                  <c:v>Dic. 2007</c:v>
                </c:pt>
                <c:pt idx="2">
                  <c:v>Dic. 2008</c:v>
                </c:pt>
                <c:pt idx="3">
                  <c:v>Dic. 2009</c:v>
                </c:pt>
                <c:pt idx="4">
                  <c:v>Dic. 2010</c:v>
                </c:pt>
                <c:pt idx="5">
                  <c:v>Dic. 2011</c:v>
                </c:pt>
                <c:pt idx="6">
                  <c:v>Dic. 2012</c:v>
                </c:pt>
                <c:pt idx="7">
                  <c:v>Dic. 2013</c:v>
                </c:pt>
                <c:pt idx="8">
                  <c:v>Dic. 2014</c:v>
                </c:pt>
                <c:pt idx="9">
                  <c:v>Jun. 2015</c:v>
                </c:pt>
              </c:strCache>
            </c:strRef>
          </c:cat>
          <c:val>
            <c:numRef>
              <c:f>'III.3.4.Cob.Afil anual SFS RS'!$B$5:$B$14</c:f>
              <c:numCache>
                <c:formatCode>_(* #,##0_);_(* \(#,##0\);_(* "-"??_);_(@_)</c:formatCode>
                <c:ptCount val="10"/>
                <c:pt idx="0">
                  <c:v>254831</c:v>
                </c:pt>
                <c:pt idx="1">
                  <c:v>473647</c:v>
                </c:pt>
                <c:pt idx="2">
                  <c:v>489949</c:v>
                </c:pt>
                <c:pt idx="3">
                  <c:v>575190</c:v>
                </c:pt>
                <c:pt idx="4">
                  <c:v>880620</c:v>
                </c:pt>
                <c:pt idx="5">
                  <c:v>885431</c:v>
                </c:pt>
                <c:pt idx="6">
                  <c:v>1170009</c:v>
                </c:pt>
                <c:pt idx="7">
                  <c:v>1467184</c:v>
                </c:pt>
                <c:pt idx="8">
                  <c:v>1795214</c:v>
                </c:pt>
                <c:pt idx="9">
                  <c:v>1823787</c:v>
                </c:pt>
              </c:numCache>
            </c:numRef>
          </c:val>
        </c:ser>
        <c:ser>
          <c:idx val="1"/>
          <c:order val="1"/>
          <c:tx>
            <c:strRef>
              <c:f>'III.3.4.Cob.Afil anual SFS RS'!$C$3:$C$4</c:f>
              <c:strCache>
                <c:ptCount val="2"/>
                <c:pt idx="0">
                  <c:v>Cobertura de Afiliación por Dependientes</c:v>
                </c:pt>
                <c:pt idx="1">
                  <c:v> -   </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RS'!$A$5:$A$14</c:f>
              <c:strCache>
                <c:ptCount val="10"/>
                <c:pt idx="0">
                  <c:v>Dic. 2006</c:v>
                </c:pt>
                <c:pt idx="1">
                  <c:v>Dic. 2007</c:v>
                </c:pt>
                <c:pt idx="2">
                  <c:v>Dic. 2008</c:v>
                </c:pt>
                <c:pt idx="3">
                  <c:v>Dic. 2009</c:v>
                </c:pt>
                <c:pt idx="4">
                  <c:v>Dic. 2010</c:v>
                </c:pt>
                <c:pt idx="5">
                  <c:v>Dic. 2011</c:v>
                </c:pt>
                <c:pt idx="6">
                  <c:v>Dic. 2012</c:v>
                </c:pt>
                <c:pt idx="7">
                  <c:v>Dic. 2013</c:v>
                </c:pt>
                <c:pt idx="8">
                  <c:v>Dic. 2014</c:v>
                </c:pt>
                <c:pt idx="9">
                  <c:v>Jun. 2015</c:v>
                </c:pt>
              </c:strCache>
            </c:strRef>
          </c:cat>
          <c:val>
            <c:numRef>
              <c:f>'III.3.4.Cob.Afil anual SFS RS'!$C$5:$C$14</c:f>
              <c:numCache>
                <c:formatCode>_(* #,##0_);_(* \(#,##0\);_(* "-"??_);_(@_)</c:formatCode>
                <c:ptCount val="10"/>
                <c:pt idx="0">
                  <c:v>258585</c:v>
                </c:pt>
                <c:pt idx="1">
                  <c:v>608289</c:v>
                </c:pt>
                <c:pt idx="2">
                  <c:v>734694</c:v>
                </c:pt>
                <c:pt idx="3">
                  <c:v>770976</c:v>
                </c:pt>
                <c:pt idx="4">
                  <c:v>967213</c:v>
                </c:pt>
                <c:pt idx="5">
                  <c:v>1110904</c:v>
                </c:pt>
                <c:pt idx="6">
                  <c:v>1124347</c:v>
                </c:pt>
                <c:pt idx="7">
                  <c:v>1179715</c:v>
                </c:pt>
                <c:pt idx="8">
                  <c:v>1220432</c:v>
                </c:pt>
                <c:pt idx="9">
                  <c:v>1213761</c:v>
                </c:pt>
              </c:numCache>
            </c:numRef>
          </c:val>
        </c:ser>
        <c:dLbls>
          <c:showLegendKey val="0"/>
          <c:showVal val="0"/>
          <c:showCatName val="0"/>
          <c:showSerName val="0"/>
          <c:showPercent val="0"/>
          <c:showBubbleSize val="0"/>
        </c:dLbls>
        <c:gapWidth val="23"/>
        <c:axId val="877100944"/>
        <c:axId val="877101336"/>
      </c:barChart>
      <c:lineChart>
        <c:grouping val="standard"/>
        <c:varyColors val="0"/>
        <c:ser>
          <c:idx val="2"/>
          <c:order val="2"/>
          <c:tx>
            <c:strRef>
              <c:f>'III.3.4.Cob.Afil anual SFS RS'!$E$3:$E$4</c:f>
              <c:strCache>
                <c:ptCount val="2"/>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RS'!$A$5:$A$14</c:f>
              <c:strCache>
                <c:ptCount val="10"/>
                <c:pt idx="0">
                  <c:v>Dic. 2006</c:v>
                </c:pt>
                <c:pt idx="1">
                  <c:v>Dic. 2007</c:v>
                </c:pt>
                <c:pt idx="2">
                  <c:v>Dic. 2008</c:v>
                </c:pt>
                <c:pt idx="3">
                  <c:v>Dic. 2009</c:v>
                </c:pt>
                <c:pt idx="4">
                  <c:v>Dic. 2010</c:v>
                </c:pt>
                <c:pt idx="5">
                  <c:v>Dic. 2011</c:v>
                </c:pt>
                <c:pt idx="6">
                  <c:v>Dic. 2012</c:v>
                </c:pt>
                <c:pt idx="7">
                  <c:v>Dic. 2013</c:v>
                </c:pt>
                <c:pt idx="8">
                  <c:v>Dic. 2014</c:v>
                </c:pt>
                <c:pt idx="9">
                  <c:v>Jun. 2015</c:v>
                </c:pt>
              </c:strCache>
            </c:strRef>
          </c:cat>
          <c:val>
            <c:numRef>
              <c:f>'III.3.4.Cob.Afil anual SFS RS'!$E$5:$E$14</c:f>
              <c:numCache>
                <c:formatCode>0.00</c:formatCode>
                <c:ptCount val="10"/>
                <c:pt idx="0">
                  <c:v>1.0147313317453528</c:v>
                </c:pt>
                <c:pt idx="1">
                  <c:v>1.2842665529392143</c:v>
                </c:pt>
                <c:pt idx="2">
                  <c:v>1.4995315838995487</c:v>
                </c:pt>
                <c:pt idx="3">
                  <c:v>1.3403849162885308</c:v>
                </c:pt>
                <c:pt idx="4">
                  <c:v>1.098331857100679</c:v>
                </c:pt>
                <c:pt idx="5">
                  <c:v>1.2546477365260533</c:v>
                </c:pt>
                <c:pt idx="6">
                  <c:v>0.96097294978072823</c:v>
                </c:pt>
                <c:pt idx="7">
                  <c:v>0.80406751982028157</c:v>
                </c:pt>
                <c:pt idx="8">
                  <c:v>0.67982535786819842</c:v>
                </c:pt>
                <c:pt idx="9">
                  <c:v>0.66551686134400567</c:v>
                </c:pt>
              </c:numCache>
            </c:numRef>
          </c:val>
          <c:smooth val="0"/>
        </c:ser>
        <c:dLbls>
          <c:showLegendKey val="0"/>
          <c:showVal val="0"/>
          <c:showCatName val="0"/>
          <c:showSerName val="0"/>
          <c:showPercent val="0"/>
          <c:showBubbleSize val="0"/>
        </c:dLbls>
        <c:marker val="1"/>
        <c:smooth val="0"/>
        <c:axId val="877102120"/>
        <c:axId val="877101728"/>
      </c:lineChart>
      <c:catAx>
        <c:axId val="877100944"/>
        <c:scaling>
          <c:orientation val="minMax"/>
        </c:scaling>
        <c:delete val="0"/>
        <c:axPos val="b"/>
        <c:numFmt formatCode="General" sourceLinked="0"/>
        <c:majorTickMark val="none"/>
        <c:minorTickMark val="none"/>
        <c:tickLblPos val="nextTo"/>
        <c:crossAx val="877101336"/>
        <c:crosses val="autoZero"/>
        <c:auto val="1"/>
        <c:lblAlgn val="ctr"/>
        <c:lblOffset val="100"/>
        <c:noMultiLvlLbl val="0"/>
      </c:catAx>
      <c:valAx>
        <c:axId val="877101336"/>
        <c:scaling>
          <c:orientation val="minMax"/>
        </c:scaling>
        <c:delete val="0"/>
        <c:axPos val="l"/>
        <c:numFmt formatCode="_(* #,##0_);_(* \(#,##0\);_(* &quot;-&quot;??_);_(@_)" sourceLinked="1"/>
        <c:majorTickMark val="none"/>
        <c:minorTickMark val="none"/>
        <c:tickLblPos val="nextTo"/>
        <c:crossAx val="877100944"/>
        <c:crosses val="autoZero"/>
        <c:crossBetween val="between"/>
        <c:dispUnits>
          <c:builtInUnit val="thousands"/>
          <c:dispUnitsLbl>
            <c:layout>
              <c:manualLayout>
                <c:xMode val="edge"/>
                <c:yMode val="edge"/>
                <c:x val="1.0269083054682463E-2"/>
                <c:y val="0.35699666689507042"/>
              </c:manualLayout>
            </c:layout>
          </c:dispUnitsLbl>
        </c:dispUnits>
      </c:valAx>
      <c:valAx>
        <c:axId val="877101728"/>
        <c:scaling>
          <c:orientation val="minMax"/>
          <c:max val="2"/>
        </c:scaling>
        <c:delete val="0"/>
        <c:axPos val="r"/>
        <c:numFmt formatCode="0.00" sourceLinked="1"/>
        <c:majorTickMark val="out"/>
        <c:minorTickMark val="none"/>
        <c:tickLblPos val="nextTo"/>
        <c:crossAx val="877102120"/>
        <c:crosses val="max"/>
        <c:crossBetween val="between"/>
      </c:valAx>
      <c:catAx>
        <c:axId val="877102120"/>
        <c:scaling>
          <c:orientation val="minMax"/>
        </c:scaling>
        <c:delete val="1"/>
        <c:axPos val="b"/>
        <c:numFmt formatCode="General" sourceLinked="1"/>
        <c:majorTickMark val="out"/>
        <c:minorTickMark val="none"/>
        <c:tickLblPos val="nextTo"/>
        <c:crossAx val="877101728"/>
        <c:crosses val="autoZero"/>
        <c:auto val="1"/>
        <c:lblAlgn val="ctr"/>
        <c:lblOffset val="100"/>
        <c:noMultiLvlLbl val="0"/>
      </c:catAx>
    </c:plotArea>
    <c:legend>
      <c:legendPos val="t"/>
      <c:layout>
        <c:manualLayout>
          <c:xMode val="edge"/>
          <c:yMode val="edge"/>
          <c:x val="0.28268786228931747"/>
          <c:y val="7.5362374717493463E-2"/>
          <c:w val="0.4962387002413492"/>
          <c:h val="4.3833106933633174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78146257432"/>
          <c:y val="3.5987184699919079E-2"/>
        </c:manualLayout>
      </c:layout>
      <c:overlay val="0"/>
    </c:title>
    <c:autoTitleDeleted val="0"/>
    <c:plotArea>
      <c:layout>
        <c:manualLayout>
          <c:layoutTarget val="inner"/>
          <c:xMode val="edge"/>
          <c:yMode val="edge"/>
          <c:x val="5.0232111199584345E-2"/>
          <c:y val="0.19715546806053563"/>
          <c:w val="0.90054476898179281"/>
          <c:h val="0.68492112019996165"/>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'III.3.5.Cob.Afil.mens.SFS RS '!$B$4:$B$16</c:f>
              <c:numCache>
                <c:formatCode>_(* #,##0_);_(* \(#,##0\);_(* "-"??_);_(@_)</c:formatCode>
                <c:ptCount val="13"/>
                <c:pt idx="0">
                  <c:v>1550134</c:v>
                </c:pt>
                <c:pt idx="1">
                  <c:v>1545541</c:v>
                </c:pt>
                <c:pt idx="2">
                  <c:v>1539520</c:v>
                </c:pt>
                <c:pt idx="3">
                  <c:v>1534933</c:v>
                </c:pt>
                <c:pt idx="4">
                  <c:v>1538413</c:v>
                </c:pt>
                <c:pt idx="5">
                  <c:v>1636967</c:v>
                </c:pt>
                <c:pt idx="6">
                  <c:v>1795214</c:v>
                </c:pt>
                <c:pt idx="7">
                  <c:v>1795214</c:v>
                </c:pt>
                <c:pt idx="8">
                  <c:v>1786117</c:v>
                </c:pt>
                <c:pt idx="9">
                  <c:v>1782070</c:v>
                </c:pt>
                <c:pt idx="10">
                  <c:v>1806581</c:v>
                </c:pt>
                <c:pt idx="11">
                  <c:v>1811780</c:v>
                </c:pt>
                <c:pt idx="12">
                  <c:v>1823787</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spPr>
              <a:noFill/>
              <a:ln>
                <a:noFill/>
              </a:ln>
              <a:effectLst/>
            </c:spPr>
            <c:txPr>
              <a:bodyPr/>
              <a:lstStyle/>
              <a:p>
                <a:pPr>
                  <a:defRPr sz="1100"/>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'III.3.5.Cob.Afil.mens.SFS RS '!$C$4:$C$16</c:f>
              <c:numCache>
                <c:formatCode>_(* #,##0_);_(* \(#,##0\);_(* "-"??_);_(@_)</c:formatCode>
                <c:ptCount val="13"/>
                <c:pt idx="0">
                  <c:v>1208033</c:v>
                </c:pt>
                <c:pt idx="1">
                  <c:v>1209278</c:v>
                </c:pt>
                <c:pt idx="2">
                  <c:v>1211525</c:v>
                </c:pt>
                <c:pt idx="3">
                  <c:v>1213460</c:v>
                </c:pt>
                <c:pt idx="4">
                  <c:v>1213532</c:v>
                </c:pt>
                <c:pt idx="5">
                  <c:v>1211292</c:v>
                </c:pt>
                <c:pt idx="6">
                  <c:v>1220432</c:v>
                </c:pt>
                <c:pt idx="7">
                  <c:v>1220432</c:v>
                </c:pt>
                <c:pt idx="8">
                  <c:v>1214864</c:v>
                </c:pt>
                <c:pt idx="9">
                  <c:v>1219963</c:v>
                </c:pt>
                <c:pt idx="10">
                  <c:v>1225984</c:v>
                </c:pt>
                <c:pt idx="11">
                  <c:v>1221857</c:v>
                </c:pt>
                <c:pt idx="12">
                  <c:v>1213761</c:v>
                </c:pt>
              </c:numCache>
            </c:numRef>
          </c:val>
        </c:ser>
        <c:dLbls>
          <c:showLegendKey val="0"/>
          <c:showVal val="0"/>
          <c:showCatName val="0"/>
          <c:showSerName val="0"/>
          <c:showPercent val="0"/>
          <c:showBubbleSize val="0"/>
        </c:dLbls>
        <c:gapWidth val="49"/>
        <c:overlap val="51"/>
        <c:axId val="877103296"/>
        <c:axId val="877103688"/>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'III.3.5.Cob.Afil.mens.SFS RS '!$E$4:$E$16</c:f>
              <c:numCache>
                <c:formatCode>0.00</c:formatCode>
                <c:ptCount val="13"/>
                <c:pt idx="0">
                  <c:v>0.77930875653330611</c:v>
                </c:pt>
                <c:pt idx="1">
                  <c:v>0.78243022993243139</c:v>
                </c:pt>
                <c:pt idx="2">
                  <c:v>0.78694982851797968</c:v>
                </c:pt>
                <c:pt idx="3">
                  <c:v>0.79056219391986493</c:v>
                </c:pt>
                <c:pt idx="4">
                  <c:v>0.78882068729268406</c:v>
                </c:pt>
                <c:pt idx="5">
                  <c:v>0.73996115987677213</c:v>
                </c:pt>
                <c:pt idx="6">
                  <c:v>0.67982535786819842</c:v>
                </c:pt>
                <c:pt idx="7">
                  <c:v>0.67982535786819842</c:v>
                </c:pt>
                <c:pt idx="8">
                  <c:v>0.68017044796057591</c:v>
                </c:pt>
                <c:pt idx="9">
                  <c:v>0.68457636344251349</c:v>
                </c:pt>
                <c:pt idx="10">
                  <c:v>0.67862110804885034</c:v>
                </c:pt>
                <c:pt idx="11">
                  <c:v>0.67439589795670551</c:v>
                </c:pt>
                <c:pt idx="12">
                  <c:v>0.66551686134400567</c:v>
                </c:pt>
              </c:numCache>
            </c:numRef>
          </c:val>
          <c:smooth val="1"/>
        </c:ser>
        <c:dLbls>
          <c:showLegendKey val="0"/>
          <c:showVal val="0"/>
          <c:showCatName val="0"/>
          <c:showSerName val="0"/>
          <c:showPercent val="0"/>
          <c:showBubbleSize val="0"/>
        </c:dLbls>
        <c:marker val="1"/>
        <c:smooth val="0"/>
        <c:axId val="877104472"/>
        <c:axId val="877104080"/>
      </c:lineChart>
      <c:catAx>
        <c:axId val="877103296"/>
        <c:scaling>
          <c:orientation val="minMax"/>
        </c:scaling>
        <c:delete val="0"/>
        <c:axPos val="b"/>
        <c:numFmt formatCode="General" sourceLinked="0"/>
        <c:majorTickMark val="none"/>
        <c:minorTickMark val="none"/>
        <c:tickLblPos val="nextTo"/>
        <c:txPr>
          <a:bodyPr/>
          <a:lstStyle/>
          <a:p>
            <a:pPr>
              <a:defRPr sz="1600"/>
            </a:pPr>
            <a:endParaRPr lang="es-ES"/>
          </a:p>
        </c:txPr>
        <c:crossAx val="877103688"/>
        <c:crosses val="autoZero"/>
        <c:auto val="1"/>
        <c:lblAlgn val="ctr"/>
        <c:lblOffset val="100"/>
        <c:noMultiLvlLbl val="0"/>
      </c:catAx>
      <c:valAx>
        <c:axId val="877103688"/>
        <c:scaling>
          <c:orientation val="minMax"/>
        </c:scaling>
        <c:delete val="0"/>
        <c:axPos val="l"/>
        <c:numFmt formatCode="_(* #,##0_);_(* \(#,##0\);_(* &quot;-&quot;??_);_(@_)" sourceLinked="1"/>
        <c:majorTickMark val="none"/>
        <c:minorTickMark val="none"/>
        <c:tickLblPos val="nextTo"/>
        <c:txPr>
          <a:bodyPr/>
          <a:lstStyle/>
          <a:p>
            <a:pPr>
              <a:defRPr sz="500"/>
            </a:pPr>
            <a:endParaRPr lang="es-ES"/>
          </a:p>
        </c:txPr>
        <c:crossAx val="877103296"/>
        <c:crosses val="autoZero"/>
        <c:crossBetween val="between"/>
        <c:dispUnits>
          <c:builtInUnit val="thousands"/>
          <c:dispUnitsLbl>
            <c:layout>
              <c:manualLayout>
                <c:xMode val="edge"/>
                <c:yMode val="edge"/>
                <c:x val="7.6940224595644403E-3"/>
                <c:y val="0.42105048031950798"/>
              </c:manualLayout>
            </c:layout>
          </c:dispUnitsLbl>
        </c:dispUnits>
      </c:valAx>
      <c:valAx>
        <c:axId val="877104080"/>
        <c:scaling>
          <c:orientation val="minMax"/>
          <c:max val="2"/>
        </c:scaling>
        <c:delete val="0"/>
        <c:axPos val="r"/>
        <c:numFmt formatCode="0.00" sourceLinked="1"/>
        <c:majorTickMark val="out"/>
        <c:minorTickMark val="none"/>
        <c:tickLblPos val="nextTo"/>
        <c:crossAx val="877104472"/>
        <c:crosses val="max"/>
        <c:crossBetween val="between"/>
      </c:valAx>
      <c:catAx>
        <c:axId val="877104472"/>
        <c:scaling>
          <c:orientation val="minMax"/>
        </c:scaling>
        <c:delete val="1"/>
        <c:axPos val="b"/>
        <c:numFmt formatCode="General" sourceLinked="1"/>
        <c:majorTickMark val="out"/>
        <c:minorTickMark val="none"/>
        <c:tickLblPos val="nextTo"/>
        <c:crossAx val="877104080"/>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18492111330610286"/>
          <c:y val="2.0117586047278164E-2"/>
        </c:manualLayout>
      </c:layout>
      <c:overlay val="0"/>
    </c:title>
    <c:autoTitleDeleted val="0"/>
    <c:view3D>
      <c:rotX val="15"/>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'!$A$27</c:f>
              <c:strCache>
                <c:ptCount val="1"/>
                <c:pt idx="0">
                  <c:v>Dic.07</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'!$B$27:$C$27,'III.3.6.Afil.SFSRSsex tipo '!$E$27:$F$27)</c:f>
              <c:numCache>
                <c:formatCode>#,##0</c:formatCode>
                <c:ptCount val="4"/>
                <c:pt idx="0">
                  <c:v>169757</c:v>
                </c:pt>
                <c:pt idx="1">
                  <c:v>310064</c:v>
                </c:pt>
                <c:pt idx="2">
                  <c:v>303890</c:v>
                </c:pt>
                <c:pt idx="3">
                  <c:v>298225</c:v>
                </c:pt>
              </c:numCache>
            </c:numRef>
          </c:val>
        </c:ser>
        <c:ser>
          <c:idx val="23"/>
          <c:order val="23"/>
          <c:tx>
            <c:strRef>
              <c:f>'III.3.6.Afil.SFSRSsex tipo '!$A$28</c:f>
              <c:strCache>
                <c:ptCount val="1"/>
                <c:pt idx="0">
                  <c:v>Dic.08</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'!$B$28:$C$28,'III.3.6.Afil.SFSRSsex tipo '!$E$28:$F$28)</c:f>
              <c:numCache>
                <c:formatCode>#,##0</c:formatCode>
                <c:ptCount val="4"/>
                <c:pt idx="0">
                  <c:v>169198</c:v>
                </c:pt>
                <c:pt idx="1">
                  <c:v>376240</c:v>
                </c:pt>
                <c:pt idx="2">
                  <c:v>320751</c:v>
                </c:pt>
                <c:pt idx="3">
                  <c:v>358454</c:v>
                </c:pt>
              </c:numCache>
            </c:numRef>
          </c:val>
        </c:ser>
        <c:ser>
          <c:idx val="24"/>
          <c:order val="24"/>
          <c:tx>
            <c:strRef>
              <c:f>'III.3.6.Afil.SFSRSsex tipo '!$A$29</c:f>
              <c:strCache>
                <c:ptCount val="1"/>
                <c:pt idx="0">
                  <c:v>Dic.09</c:v>
                </c:pt>
              </c:strCache>
            </c:strRef>
          </c:tx>
          <c:spPr>
            <a:solidFill>
              <a:srgbClr val="FFFF0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'!$B$29:$C$29,'III.3.6.Afil.SFSRSsex tipo '!$E$29:$F$29)</c:f>
              <c:numCache>
                <c:formatCode>#,##0</c:formatCode>
                <c:ptCount val="4"/>
                <c:pt idx="0">
                  <c:v>213701</c:v>
                </c:pt>
                <c:pt idx="1">
                  <c:v>401930</c:v>
                </c:pt>
                <c:pt idx="2">
                  <c:v>408348</c:v>
                </c:pt>
                <c:pt idx="3">
                  <c:v>380246</c:v>
                </c:pt>
              </c:numCache>
            </c:numRef>
          </c:val>
        </c:ser>
        <c:ser>
          <c:idx val="25"/>
          <c:order val="25"/>
          <c:tx>
            <c:strRef>
              <c:f>'III.3.6.Afil.SFSRSsex tipo '!$A$30</c:f>
              <c:strCache>
                <c:ptCount val="1"/>
                <c:pt idx="0">
                  <c:v>Dic.10</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'!$B$30:$C$30,'III.3.6.Afil.SFSRSsex tipo '!$E$30:$F$30)</c:f>
              <c:numCache>
                <c:formatCode>#,##0</c:formatCode>
                <c:ptCount val="4"/>
                <c:pt idx="0">
                  <c:v>328922</c:v>
                </c:pt>
                <c:pt idx="1">
                  <c:v>575714</c:v>
                </c:pt>
                <c:pt idx="2">
                  <c:v>574328</c:v>
                </c:pt>
                <c:pt idx="3">
                  <c:v>534822</c:v>
                </c:pt>
              </c:numCache>
            </c:numRef>
          </c:val>
        </c:ser>
        <c:ser>
          <c:idx val="26"/>
          <c:order val="26"/>
          <c:tx>
            <c:strRef>
              <c:f>'III.3.6.Afil.SFSRSsex tipo '!$A$31</c:f>
              <c:strCache>
                <c:ptCount val="1"/>
                <c:pt idx="0">
                  <c:v>Dic.11</c:v>
                </c:pt>
              </c:strCache>
            </c:strRef>
          </c:tx>
          <c:spPr>
            <a:solidFill>
              <a:srgbClr val="92D05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'!$B$31:$C$31,'III.3.6.Afil.SFSRSsex tipo '!$E$31:$F$31)</c:f>
              <c:numCache>
                <c:formatCode>#,##0</c:formatCode>
                <c:ptCount val="4"/>
                <c:pt idx="0">
                  <c:v>319816</c:v>
                </c:pt>
                <c:pt idx="1">
                  <c:v>579358</c:v>
                </c:pt>
                <c:pt idx="2">
                  <c:v>563959</c:v>
                </c:pt>
                <c:pt idx="3">
                  <c:v>540294</c:v>
                </c:pt>
              </c:numCache>
            </c:numRef>
          </c:val>
        </c:ser>
        <c:ser>
          <c:idx val="27"/>
          <c:order val="27"/>
          <c:tx>
            <c:strRef>
              <c:f>'III.3.6.Afil.SFSRSsex tipo '!$A$32</c:f>
              <c:strCache>
                <c:ptCount val="1"/>
                <c:pt idx="0">
                  <c:v>Dic.12</c:v>
                </c:pt>
              </c:strCache>
            </c:strRef>
          </c:tx>
          <c:spPr>
            <a:solidFill>
              <a:srgbClr val="7030A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'!$B$32:$C$32,'III.3.6.Afil.SFSRSsex tipo '!$E$32:$F$32)</c:f>
              <c:numCache>
                <c:formatCode>#,##0</c:formatCode>
                <c:ptCount val="4"/>
                <c:pt idx="0">
                  <c:v>446880</c:v>
                </c:pt>
                <c:pt idx="1">
                  <c:v>584446</c:v>
                </c:pt>
                <c:pt idx="2">
                  <c:v>731160</c:v>
                </c:pt>
                <c:pt idx="3">
                  <c:v>540865</c:v>
                </c:pt>
              </c:numCache>
            </c:numRef>
          </c:val>
        </c:ser>
        <c:ser>
          <c:idx val="28"/>
          <c:order val="28"/>
          <c:tx>
            <c:strRef>
              <c:f>'III.3.6.Afil.SFSRSsex tipo '!$A$33</c:f>
              <c:strCache>
                <c:ptCount val="1"/>
                <c:pt idx="0">
                  <c:v>Dic.13</c:v>
                </c:pt>
              </c:strCache>
            </c:strRef>
          </c:tx>
          <c:spPr>
            <a:solidFill>
              <a:schemeClr val="bg2">
                <a:lumMod val="50000"/>
              </a:schemeClr>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'!$B$33:$C$33,'III.3.6.Afil.SFSRSsex tipo '!$E$33:$F$33)</c:f>
              <c:numCache>
                <c:formatCode>#,##0</c:formatCode>
                <c:ptCount val="4"/>
                <c:pt idx="0">
                  <c:v>625451</c:v>
                </c:pt>
                <c:pt idx="1">
                  <c:v>617980</c:v>
                </c:pt>
                <c:pt idx="2">
                  <c:v>942774</c:v>
                </c:pt>
                <c:pt idx="3">
                  <c:v>565548</c:v>
                </c:pt>
              </c:numCache>
            </c:numRef>
          </c:val>
        </c:ser>
        <c:ser>
          <c:idx val="29"/>
          <c:order val="29"/>
          <c:tx>
            <c:strRef>
              <c:f>'III.3.6.Afil.SFSRSsex tipo '!$A$34</c:f>
              <c:strCache>
                <c:ptCount val="1"/>
                <c:pt idx="0">
                  <c:v>Dic.14</c:v>
                </c:pt>
              </c:strCache>
            </c:strRef>
          </c:tx>
          <c:spPr>
            <a:solidFill>
              <a:srgbClr val="FF660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'!$B$34:$C$34,'III.3.6.Afil.SFSRSsex tipo '!$E$34:$F$34)</c:f>
              <c:numCache>
                <c:formatCode>#,##0</c:formatCode>
                <c:ptCount val="4"/>
                <c:pt idx="0">
                  <c:v>760801</c:v>
                </c:pt>
                <c:pt idx="1">
                  <c:v>639717</c:v>
                </c:pt>
                <c:pt idx="2">
                  <c:v>1034413</c:v>
                </c:pt>
                <c:pt idx="3">
                  <c:v>580715</c:v>
                </c:pt>
              </c:numCache>
            </c:numRef>
          </c:val>
        </c:ser>
        <c:ser>
          <c:idx val="30"/>
          <c:order val="30"/>
          <c:tx>
            <c:strRef>
              <c:f>'III.3.6.Afil.SFSRSsex tipo '!$A$35</c:f>
              <c:strCache>
                <c:ptCount val="1"/>
                <c:pt idx="0">
                  <c:v>Jun.15</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178747265084205E-3"/>
                  <c:y val="-4.273257053495050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'!$B$35:$C$35,'III.3.6.Afil.SFSRSsex tipo '!$E$35:$F$35)</c:f>
              <c:numCache>
                <c:formatCode>#,##0</c:formatCode>
                <c:ptCount val="4"/>
                <c:pt idx="0">
                  <c:v>782490</c:v>
                </c:pt>
                <c:pt idx="1">
                  <c:v>634680</c:v>
                </c:pt>
                <c:pt idx="2">
                  <c:v>1050408</c:v>
                </c:pt>
                <c:pt idx="3">
                  <c:v>575775</c:v>
                </c:pt>
              </c:numCache>
            </c:numRef>
          </c:val>
        </c:ser>
        <c:dLbls>
          <c:showLegendKey val="0"/>
          <c:showVal val="0"/>
          <c:showCatName val="0"/>
          <c:showSerName val="0"/>
          <c:showPercent val="0"/>
          <c:showBubbleSize val="0"/>
        </c:dLbls>
        <c:gapWidth val="75"/>
        <c:shape val="cylinder"/>
        <c:axId val="877105256"/>
        <c:axId val="877106040"/>
        <c:axId val="0"/>
      </c:bar3DChart>
      <c:catAx>
        <c:axId val="877105256"/>
        <c:scaling>
          <c:orientation val="minMax"/>
        </c:scaling>
        <c:delete val="0"/>
        <c:axPos val="b"/>
        <c:numFmt formatCode="General" sourceLinked="0"/>
        <c:majorTickMark val="none"/>
        <c:minorTickMark val="none"/>
        <c:tickLblPos val="nextTo"/>
        <c:txPr>
          <a:bodyPr/>
          <a:lstStyle/>
          <a:p>
            <a:pPr>
              <a:defRPr sz="1800" b="1"/>
            </a:pPr>
            <a:endParaRPr lang="es-ES"/>
          </a:p>
        </c:txPr>
        <c:crossAx val="877106040"/>
        <c:crosses val="autoZero"/>
        <c:auto val="1"/>
        <c:lblAlgn val="ctr"/>
        <c:lblOffset val="100"/>
        <c:noMultiLvlLbl val="0"/>
      </c:catAx>
      <c:valAx>
        <c:axId val="877106040"/>
        <c:scaling>
          <c:orientation val="minMax"/>
        </c:scaling>
        <c:delete val="1"/>
        <c:axPos val="l"/>
        <c:numFmt formatCode="#,##0" sourceLinked="1"/>
        <c:majorTickMark val="none"/>
        <c:minorTickMark val="none"/>
        <c:tickLblPos val="nextTo"/>
        <c:crossAx val="877105256"/>
        <c:crosses val="autoZero"/>
        <c:crossBetween val="between"/>
      </c:valAx>
    </c:plotArea>
    <c:legend>
      <c:legendPos val="t"/>
      <c:layout>
        <c:manualLayout>
          <c:xMode val="edge"/>
          <c:yMode val="edge"/>
          <c:x val="8.9735442111195593E-2"/>
          <c:y val="7.5300394947058022E-2"/>
          <c:w val="0.76470379705612945"/>
          <c:h val="4.855121995558017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109208146137949E-2"/>
          <c:y val="0.19588607590885038"/>
          <c:w val="0.90490284082661654"/>
          <c:h val="0.6074655409340682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40107</c:v>
                </c:pt>
                <c:pt idx="1">
                  <c:v>12115</c:v>
                </c:pt>
                <c:pt idx="2">
                  <c:v>7561</c:v>
                </c:pt>
                <c:pt idx="3">
                  <c:v>5116</c:v>
                </c:pt>
                <c:pt idx="4">
                  <c:v>1664</c:v>
                </c:pt>
                <c:pt idx="5">
                  <c:v>1521</c:v>
                </c:pt>
                <c:pt idx="6">
                  <c:v>218</c:v>
                </c:pt>
                <c:pt idx="7">
                  <c:v>199</c:v>
                </c:pt>
                <c:pt idx="8">
                  <c:v>3</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102540</c:v>
                </c:pt>
                <c:pt idx="1">
                  <c:v>91859</c:v>
                </c:pt>
                <c:pt idx="2">
                  <c:v>109277</c:v>
                </c:pt>
                <c:pt idx="3">
                  <c:v>159159</c:v>
                </c:pt>
                <c:pt idx="4">
                  <c:v>117141</c:v>
                </c:pt>
                <c:pt idx="5">
                  <c:v>313765</c:v>
                </c:pt>
                <c:pt idx="6">
                  <c:v>152785</c:v>
                </c:pt>
                <c:pt idx="7">
                  <c:v>428421</c:v>
                </c:pt>
                <c:pt idx="8">
                  <c:v>231837</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269811464"/>
        <c:axId val="269811072"/>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c:formatCode>
                <c:ptCount val="9"/>
                <c:pt idx="0">
                  <c:v>0.58546946163727664</c:v>
                </c:pt>
                <c:pt idx="1">
                  <c:v>0.1768509868036903</c:v>
                </c:pt>
                <c:pt idx="2">
                  <c:v>0.11037311689828332</c:v>
                </c:pt>
                <c:pt idx="3">
                  <c:v>7.4681770407567447E-2</c:v>
                </c:pt>
                <c:pt idx="4">
                  <c:v>2.4290552376503561E-2</c:v>
                </c:pt>
                <c:pt idx="5">
                  <c:v>2.2203083031647787E-2</c:v>
                </c:pt>
                <c:pt idx="6">
                  <c:v>3.1822959243255869E-3</c:v>
                </c:pt>
                <c:pt idx="7">
                  <c:v>2.9049398575265676E-3</c:v>
                </c:pt>
                <c:pt idx="8">
                  <c:v>4.3793063178792478E-5</c:v>
                </c:pt>
              </c:numCache>
            </c:numRef>
          </c:val>
          <c:smooth val="0"/>
        </c:ser>
        <c:dLbls>
          <c:showLegendKey val="0"/>
          <c:showVal val="0"/>
          <c:showCatName val="0"/>
          <c:showSerName val="0"/>
          <c:showPercent val="0"/>
          <c:showBubbleSize val="0"/>
        </c:dLbls>
        <c:marker val="1"/>
        <c:smooth val="0"/>
        <c:axId val="269810288"/>
        <c:axId val="269810680"/>
      </c:lineChart>
      <c:catAx>
        <c:axId val="269811464"/>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269811072"/>
        <c:crosses val="autoZero"/>
        <c:auto val="1"/>
        <c:lblAlgn val="ctr"/>
        <c:lblOffset val="100"/>
        <c:noMultiLvlLbl val="0"/>
      </c:catAx>
      <c:valAx>
        <c:axId val="269811072"/>
        <c:scaling>
          <c:orientation val="minMax"/>
        </c:scaling>
        <c:delete val="0"/>
        <c:axPos val="l"/>
        <c:numFmt formatCode="#,##0" sourceLinked="1"/>
        <c:majorTickMark val="none"/>
        <c:minorTickMark val="none"/>
        <c:tickLblPos val="nextTo"/>
        <c:crossAx val="269811464"/>
        <c:crosses val="autoZero"/>
        <c:crossBetween val="between"/>
      </c:valAx>
      <c:valAx>
        <c:axId val="269810680"/>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269810288"/>
        <c:crosses val="max"/>
        <c:crossBetween val="between"/>
      </c:valAx>
      <c:catAx>
        <c:axId val="269810288"/>
        <c:scaling>
          <c:orientation val="minMax"/>
        </c:scaling>
        <c:delete val="1"/>
        <c:axPos val="b"/>
        <c:numFmt formatCode="General" sourceLinked="1"/>
        <c:majorTickMark val="out"/>
        <c:minorTickMark val="none"/>
        <c:tickLblPos val="nextTo"/>
        <c:crossAx val="269810680"/>
        <c:crosses val="autoZero"/>
        <c:auto val="1"/>
        <c:lblAlgn val="ctr"/>
        <c:lblOffset val="100"/>
        <c:noMultiLvlLbl val="0"/>
      </c:catAx>
    </c:plotArea>
    <c:legend>
      <c:legendPos val="t"/>
      <c:layout>
        <c:manualLayout>
          <c:xMode val="edge"/>
          <c:yMode val="edge"/>
          <c:x val="0.16147688825869669"/>
          <c:y val="6.100804371327416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 (MEPYD) </a:t>
            </a:r>
          </a:p>
        </c:rich>
      </c:tx>
      <c:layout>
        <c:manualLayout>
          <c:xMode val="edge"/>
          <c:yMode val="edge"/>
          <c:x val="0.21321648486837025"/>
          <c:y val="3.2025932359901851E-2"/>
        </c:manualLayout>
      </c:layout>
      <c:overlay val="0"/>
    </c:title>
    <c:autoTitleDeleted val="0"/>
    <c:plotArea>
      <c:layout>
        <c:manualLayout>
          <c:layoutTarget val="inner"/>
          <c:xMode val="edge"/>
          <c:yMode val="edge"/>
          <c:x val="7.4196836891283466E-2"/>
          <c:y val="0.20088750278429546"/>
          <c:w val="0.87909338459886011"/>
          <c:h val="0.61021261472412547"/>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Jun. 2015</c:v>
                </c:pt>
              </c:strCache>
            </c:strRef>
          </c:cat>
          <c:val>
            <c:numRef>
              <c:f>'III.3.7. Afil. SFS RS Vs pob.'!$D$5:$D$15</c:f>
              <c:numCache>
                <c:formatCode>_(* #,##0_);_(* \(#,##0\);_(* "-"??_);_(@_)</c:formatCode>
                <c:ptCount val="11"/>
                <c:pt idx="0">
                  <c:v>4295740.9759999998</c:v>
                </c:pt>
                <c:pt idx="1">
                  <c:v>4009960.1359999999</c:v>
                </c:pt>
                <c:pt idx="2">
                  <c:v>4000415.54</c:v>
                </c:pt>
                <c:pt idx="3">
                  <c:v>4100514.0019999999</c:v>
                </c:pt>
                <c:pt idx="4">
                  <c:v>3948329.5549999997</c:v>
                </c:pt>
                <c:pt idx="5">
                  <c:v>3943102.5919999997</c:v>
                </c:pt>
                <c:pt idx="6">
                  <c:v>3870313.1320000002</c:v>
                </c:pt>
                <c:pt idx="7">
                  <c:v>3959338.406</c:v>
                </c:pt>
                <c:pt idx="8">
                  <c:v>4029666.1159999999</c:v>
                </c:pt>
                <c:pt idx="9">
                  <c:v>4031246.0399999996</c:v>
                </c:pt>
                <c:pt idx="10">
                  <c:v>4150896.3319999999</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Jun. 2015</c:v>
                </c:pt>
              </c:strCache>
            </c:strRef>
          </c:cat>
          <c:val>
            <c:numRef>
              <c:f>'III.3.7. Afil. SFS RS Vs pob.'!$B$5:$B$15</c:f>
              <c:numCache>
                <c:formatCode>_(* #,##0_);_(* \(#,##0\);_(* "-"??_);_(@_)</c:formatCode>
                <c:ptCount val="11"/>
                <c:pt idx="0">
                  <c:v>253374</c:v>
                </c:pt>
                <c:pt idx="1">
                  <c:v>514040</c:v>
                </c:pt>
                <c:pt idx="2">
                  <c:v>1081936</c:v>
                </c:pt>
                <c:pt idx="3">
                  <c:v>1224898</c:v>
                </c:pt>
                <c:pt idx="4">
                  <c:v>1404225</c:v>
                </c:pt>
                <c:pt idx="5">
                  <c:v>2013786</c:v>
                </c:pt>
                <c:pt idx="6">
                  <c:v>2003427</c:v>
                </c:pt>
                <c:pt idx="7">
                  <c:v>2303351</c:v>
                </c:pt>
                <c:pt idx="8">
                  <c:v>2751753</c:v>
                </c:pt>
                <c:pt idx="9">
                  <c:v>3015646</c:v>
                </c:pt>
                <c:pt idx="10">
                  <c:v>3043353</c:v>
                </c:pt>
              </c:numCache>
            </c:numRef>
          </c:val>
        </c:ser>
        <c:dLbls>
          <c:showLegendKey val="0"/>
          <c:showVal val="0"/>
          <c:showCatName val="0"/>
          <c:showSerName val="0"/>
          <c:showPercent val="0"/>
          <c:showBubbleSize val="0"/>
        </c:dLbls>
        <c:gapWidth val="26"/>
        <c:overlap val="66"/>
        <c:axId val="877106824"/>
        <c:axId val="877107216"/>
      </c:barChart>
      <c:lineChart>
        <c:grouping val="standard"/>
        <c:varyColors val="0"/>
        <c:ser>
          <c:idx val="2"/>
          <c:order val="2"/>
          <c:tx>
            <c:strRef>
              <c:f>'III.3.7. Afil. SFS RS Vs pob.'!$E$4</c:f>
              <c:strCache>
                <c:ptCount val="1"/>
                <c:pt idx="0">
                  <c:v>%  Afiliación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4239342719187811E-2"/>
                  <c:y val="4.324147360592962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2.4239342719187811E-2"/>
                  <c:y val="4.3241473605929545E-2"/>
                </c:manualLayout>
              </c:layout>
              <c:spPr/>
              <c:txPr>
                <a:bodyPr/>
                <a:lstStyle/>
                <a:p>
                  <a:pPr>
                    <a:defRPr sz="1800" b="1"/>
                  </a:pPr>
                  <a:endParaRPr lang="es-E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Jun. 2015</c:v>
                </c:pt>
              </c:strCache>
            </c:strRef>
          </c:cat>
          <c:val>
            <c:numRef>
              <c:f>'III.3.7. Afil. SFS RS Vs pob.'!$E$5:$E$15</c:f>
              <c:numCache>
                <c:formatCode>0.0%</c:formatCode>
                <c:ptCount val="11"/>
                <c:pt idx="0">
                  <c:v>5.8982606590011498E-2</c:v>
                </c:pt>
                <c:pt idx="1">
                  <c:v>0.12819080054814788</c:v>
                </c:pt>
                <c:pt idx="2">
                  <c:v>0.2704559036884453</c:v>
                </c:pt>
                <c:pt idx="3">
                  <c:v>0.29871816055318035</c:v>
                </c:pt>
                <c:pt idx="4">
                  <c:v>0.35565040365532508</c:v>
                </c:pt>
                <c:pt idx="5">
                  <c:v>0.51071103351094349</c:v>
                </c:pt>
                <c:pt idx="6">
                  <c:v>0.51763951175824396</c:v>
                </c:pt>
                <c:pt idx="7">
                  <c:v>0.58175148567990331</c:v>
                </c:pt>
                <c:pt idx="8">
                  <c:v>0.68287369741974924</c:v>
                </c:pt>
                <c:pt idx="9">
                  <c:v>0.74806795965249506</c:v>
                </c:pt>
                <c:pt idx="10">
                  <c:v>0.73317971748372734</c:v>
                </c:pt>
              </c:numCache>
            </c:numRef>
          </c:val>
          <c:smooth val="0"/>
        </c:ser>
        <c:dLbls>
          <c:showLegendKey val="0"/>
          <c:showVal val="0"/>
          <c:showCatName val="0"/>
          <c:showSerName val="0"/>
          <c:showPercent val="0"/>
          <c:showBubbleSize val="0"/>
        </c:dLbls>
        <c:marker val="1"/>
        <c:smooth val="0"/>
        <c:axId val="877108000"/>
        <c:axId val="877107608"/>
      </c:lineChart>
      <c:catAx>
        <c:axId val="877106824"/>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877107216"/>
        <c:crosses val="autoZero"/>
        <c:auto val="1"/>
        <c:lblAlgn val="ctr"/>
        <c:lblOffset val="100"/>
        <c:noMultiLvlLbl val="0"/>
      </c:catAx>
      <c:valAx>
        <c:axId val="877107216"/>
        <c:scaling>
          <c:orientation val="minMax"/>
          <c:max val="5000000"/>
        </c:scaling>
        <c:delete val="0"/>
        <c:axPos val="l"/>
        <c:numFmt formatCode="_(* #,##0_);_(* \(#,##0\);_(* &quot;-&quot;??_);_(@_)" sourceLinked="1"/>
        <c:majorTickMark val="none"/>
        <c:minorTickMark val="none"/>
        <c:tickLblPos val="nextTo"/>
        <c:crossAx val="877106824"/>
        <c:crosses val="autoZero"/>
        <c:crossBetween val="between"/>
      </c:valAx>
      <c:valAx>
        <c:axId val="877107608"/>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877108000"/>
        <c:crosses val="max"/>
        <c:crossBetween val="between"/>
      </c:valAx>
      <c:catAx>
        <c:axId val="877108000"/>
        <c:scaling>
          <c:orientation val="minMax"/>
        </c:scaling>
        <c:delete val="1"/>
        <c:axPos val="b"/>
        <c:numFmt formatCode="General" sourceLinked="1"/>
        <c:majorTickMark val="out"/>
        <c:minorTickMark val="none"/>
        <c:tickLblPos val="nextTo"/>
        <c:crossAx val="877107608"/>
        <c:crosses val="autoZero"/>
        <c:auto val="1"/>
        <c:lblAlgn val="ctr"/>
        <c:lblOffset val="100"/>
        <c:noMultiLvlLbl val="0"/>
      </c:catAx>
    </c:plotArea>
    <c:legend>
      <c:legendPos val="t"/>
      <c:layout>
        <c:manualLayout>
          <c:xMode val="edge"/>
          <c:yMode val="edge"/>
          <c:x val="0.15376062110711308"/>
          <c:y val="7.900197208452385E-2"/>
          <c:w val="0.65557841533123584"/>
          <c:h val="4.976982613339702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24616701445564962"/>
          <c:y val="5.6161128938891004E-2"/>
        </c:manualLayout>
      </c:layout>
      <c:overlay val="0"/>
    </c:title>
    <c:autoTitleDeleted val="0"/>
    <c:plotArea>
      <c:layout>
        <c:manualLayout>
          <c:layoutTarget val="inner"/>
          <c:xMode val="edge"/>
          <c:yMode val="edge"/>
          <c:x val="7.4026154596507659E-2"/>
          <c:y val="0.21100457563791486"/>
          <c:w val="0.87071441474106837"/>
          <c:h val="0.63353861348873974"/>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III.4.2.Afil. SFSP Anual.'!$A$4:$A$10</c:f>
              <c:strCache>
                <c:ptCount val="7"/>
                <c:pt idx="0">
                  <c:v>Dic. 2009</c:v>
                </c:pt>
                <c:pt idx="1">
                  <c:v>Dic. 2010</c:v>
                </c:pt>
                <c:pt idx="2">
                  <c:v>Dic. 2011</c:v>
                </c:pt>
                <c:pt idx="3">
                  <c:v>Dic. 2012</c:v>
                </c:pt>
                <c:pt idx="4">
                  <c:v>Dic. 2013</c:v>
                </c:pt>
                <c:pt idx="5">
                  <c:v>Dic. 2014</c:v>
                </c:pt>
                <c:pt idx="6">
                  <c:v>Jun. 2015</c:v>
                </c:pt>
              </c:strCache>
            </c:strRef>
          </c:cat>
          <c:val>
            <c:numRef>
              <c:f>' III.4.2.Afil. SFSP Anual.'!$B$4:$B$10</c:f>
              <c:numCache>
                <c:formatCode>_(* #,##0_);_(* \(#,##0\);_(* "-"??_);_(@_)</c:formatCode>
                <c:ptCount val="7"/>
                <c:pt idx="0">
                  <c:v>21982</c:v>
                </c:pt>
                <c:pt idx="1">
                  <c:v>27354</c:v>
                </c:pt>
                <c:pt idx="2">
                  <c:v>29726</c:v>
                </c:pt>
                <c:pt idx="3">
                  <c:v>30703</c:v>
                </c:pt>
                <c:pt idx="4">
                  <c:v>27273</c:v>
                </c:pt>
                <c:pt idx="5">
                  <c:v>30370</c:v>
                </c:pt>
                <c:pt idx="6">
                  <c:v>30582</c:v>
                </c:pt>
              </c:numCache>
            </c:numRef>
          </c:val>
        </c:ser>
        <c:dLbls>
          <c:showLegendKey val="0"/>
          <c:showVal val="0"/>
          <c:showCatName val="0"/>
          <c:showSerName val="0"/>
          <c:showPercent val="0"/>
          <c:showBubbleSize val="0"/>
        </c:dLbls>
        <c:gapWidth val="79"/>
        <c:overlap val="19"/>
        <c:axId val="877108784"/>
        <c:axId val="877109176"/>
      </c:barChart>
      <c:catAx>
        <c:axId val="877108784"/>
        <c:scaling>
          <c:orientation val="minMax"/>
        </c:scaling>
        <c:delete val="0"/>
        <c:axPos val="b"/>
        <c:numFmt formatCode="General" sourceLinked="0"/>
        <c:majorTickMark val="out"/>
        <c:minorTickMark val="none"/>
        <c:tickLblPos val="nextTo"/>
        <c:txPr>
          <a:bodyPr/>
          <a:lstStyle/>
          <a:p>
            <a:pPr>
              <a:defRPr sz="1400"/>
            </a:pPr>
            <a:endParaRPr lang="es-ES"/>
          </a:p>
        </c:txPr>
        <c:crossAx val="877109176"/>
        <c:crosses val="autoZero"/>
        <c:auto val="1"/>
        <c:lblAlgn val="ctr"/>
        <c:lblOffset val="100"/>
        <c:noMultiLvlLbl val="0"/>
      </c:catAx>
      <c:valAx>
        <c:axId val="877109176"/>
        <c:scaling>
          <c:orientation val="minMax"/>
        </c:scaling>
        <c:delete val="0"/>
        <c:axPos val="l"/>
        <c:numFmt formatCode="_(* #,##0_);_(* \(#,##0\);_(* &quot;-&quot;??_);_(@_)" sourceLinked="1"/>
        <c:majorTickMark val="out"/>
        <c:minorTickMark val="none"/>
        <c:tickLblPos val="nextTo"/>
        <c:crossAx val="87710878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0385918705683079"/>
          <c:y val="3.0206008337162738E-2"/>
        </c:manualLayout>
      </c:layout>
      <c:overlay val="0"/>
    </c:title>
    <c:autoTitleDeleted val="0"/>
    <c:plotArea>
      <c:layout>
        <c:manualLayout>
          <c:layoutTarget val="inner"/>
          <c:xMode val="edge"/>
          <c:yMode val="edge"/>
          <c:x val="5.6160015620857805E-3"/>
          <c:y val="0.214007418105429"/>
          <c:w val="0.98262475576723907"/>
          <c:h val="0.59429419557740271"/>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 III.4.3.Afil. SFSP Mensual'!$B$4:$B$16</c:f>
              <c:numCache>
                <c:formatCode>_(* #,##0_);_(* \(#,##0\);_(* "-"??_);_(@_)</c:formatCode>
                <c:ptCount val="13"/>
                <c:pt idx="0">
                  <c:v>29825</c:v>
                </c:pt>
                <c:pt idx="1">
                  <c:v>29976</c:v>
                </c:pt>
                <c:pt idx="2">
                  <c:v>30032</c:v>
                </c:pt>
                <c:pt idx="3">
                  <c:v>30250</c:v>
                </c:pt>
                <c:pt idx="4">
                  <c:v>30130</c:v>
                </c:pt>
                <c:pt idx="5">
                  <c:v>30169</c:v>
                </c:pt>
                <c:pt idx="6">
                  <c:v>30370</c:v>
                </c:pt>
                <c:pt idx="7">
                  <c:v>30435</c:v>
                </c:pt>
                <c:pt idx="8">
                  <c:v>30562</c:v>
                </c:pt>
                <c:pt idx="9">
                  <c:v>30440</c:v>
                </c:pt>
                <c:pt idx="10">
                  <c:v>30512</c:v>
                </c:pt>
                <c:pt idx="11">
                  <c:v>30543</c:v>
                </c:pt>
                <c:pt idx="12">
                  <c:v>30582</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 III.4.3.Afil. SFSP Mensual'!$C$4:$C$16</c:f>
              <c:numCache>
                <c:formatCode>_(* #,##0_);_(* \(#,##0\);_(* "-"??_);_(@_)</c:formatCode>
                <c:ptCount val="13"/>
                <c:pt idx="0">
                  <c:v>14726</c:v>
                </c:pt>
                <c:pt idx="1">
                  <c:v>14810</c:v>
                </c:pt>
                <c:pt idx="2">
                  <c:v>14850</c:v>
                </c:pt>
                <c:pt idx="3">
                  <c:v>14943</c:v>
                </c:pt>
                <c:pt idx="4">
                  <c:v>14868</c:v>
                </c:pt>
                <c:pt idx="5">
                  <c:v>14899</c:v>
                </c:pt>
                <c:pt idx="6">
                  <c:v>15039</c:v>
                </c:pt>
                <c:pt idx="7">
                  <c:v>15082</c:v>
                </c:pt>
                <c:pt idx="8">
                  <c:v>15138</c:v>
                </c:pt>
                <c:pt idx="9">
                  <c:v>15090</c:v>
                </c:pt>
                <c:pt idx="10">
                  <c:v>15135</c:v>
                </c:pt>
                <c:pt idx="11">
                  <c:v>15143</c:v>
                </c:pt>
                <c:pt idx="12">
                  <c:v>15129</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 III.4.3.Afil. SFSP Mensual'!$D$4:$D$16</c:f>
              <c:numCache>
                <c:formatCode>_(* #,##0_);_(* \(#,##0\);_(* "-"??_);_(@_)</c:formatCode>
                <c:ptCount val="13"/>
                <c:pt idx="0">
                  <c:v>10515</c:v>
                </c:pt>
                <c:pt idx="1">
                  <c:v>10545</c:v>
                </c:pt>
                <c:pt idx="2">
                  <c:v>10543</c:v>
                </c:pt>
                <c:pt idx="3">
                  <c:v>10531</c:v>
                </c:pt>
                <c:pt idx="4">
                  <c:v>10485</c:v>
                </c:pt>
                <c:pt idx="5">
                  <c:v>10482</c:v>
                </c:pt>
                <c:pt idx="6">
                  <c:v>10509</c:v>
                </c:pt>
                <c:pt idx="7">
                  <c:v>10519</c:v>
                </c:pt>
                <c:pt idx="8">
                  <c:v>10576</c:v>
                </c:pt>
                <c:pt idx="9">
                  <c:v>10518</c:v>
                </c:pt>
                <c:pt idx="10">
                  <c:v>10505</c:v>
                </c:pt>
                <c:pt idx="11">
                  <c:v>10492</c:v>
                </c:pt>
                <c:pt idx="12">
                  <c:v>10529</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0.1035243731629773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10352416937484117"/>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1087005918211261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0.10852539771544559"/>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0611227870391561"/>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 III.4.3.Afil. SFSP Mensual'!$E$4:$E$16</c:f>
              <c:numCache>
                <c:formatCode>_(* #,##0_);_(* \(#,##0\);_(* "-"??_);_(@_)</c:formatCode>
                <c:ptCount val="13"/>
                <c:pt idx="0">
                  <c:v>4584</c:v>
                </c:pt>
                <c:pt idx="1">
                  <c:v>4621</c:v>
                </c:pt>
                <c:pt idx="2">
                  <c:v>4639</c:v>
                </c:pt>
                <c:pt idx="3">
                  <c:v>4776</c:v>
                </c:pt>
                <c:pt idx="4">
                  <c:v>4777</c:v>
                </c:pt>
                <c:pt idx="5">
                  <c:v>4788</c:v>
                </c:pt>
                <c:pt idx="6">
                  <c:v>4822</c:v>
                </c:pt>
                <c:pt idx="7">
                  <c:v>4834</c:v>
                </c:pt>
                <c:pt idx="8">
                  <c:v>4848</c:v>
                </c:pt>
                <c:pt idx="9">
                  <c:v>4832</c:v>
                </c:pt>
                <c:pt idx="10">
                  <c:v>4872</c:v>
                </c:pt>
                <c:pt idx="11">
                  <c:v>4908</c:v>
                </c:pt>
                <c:pt idx="12">
                  <c:v>4924</c:v>
                </c:pt>
              </c:numCache>
            </c:numRef>
          </c:val>
        </c:ser>
        <c:dLbls>
          <c:showLegendKey val="0"/>
          <c:showVal val="0"/>
          <c:showCatName val="0"/>
          <c:showSerName val="0"/>
          <c:showPercent val="0"/>
          <c:showBubbleSize val="0"/>
        </c:dLbls>
        <c:gapWidth val="35"/>
        <c:overlap val="-25"/>
        <c:axId val="877109960"/>
        <c:axId val="877110352"/>
      </c:barChart>
      <c:catAx>
        <c:axId val="877109960"/>
        <c:scaling>
          <c:orientation val="minMax"/>
        </c:scaling>
        <c:delete val="0"/>
        <c:axPos val="b"/>
        <c:numFmt formatCode="General" sourceLinked="0"/>
        <c:majorTickMark val="none"/>
        <c:minorTickMark val="none"/>
        <c:tickLblPos val="nextTo"/>
        <c:txPr>
          <a:bodyPr/>
          <a:lstStyle/>
          <a:p>
            <a:pPr>
              <a:defRPr sz="1600"/>
            </a:pPr>
            <a:endParaRPr lang="es-ES"/>
          </a:p>
        </c:txPr>
        <c:crossAx val="877110352"/>
        <c:crosses val="autoZero"/>
        <c:auto val="1"/>
        <c:lblAlgn val="ctr"/>
        <c:lblOffset val="100"/>
        <c:noMultiLvlLbl val="0"/>
      </c:catAx>
      <c:valAx>
        <c:axId val="877110352"/>
        <c:scaling>
          <c:orientation val="minMax"/>
        </c:scaling>
        <c:delete val="1"/>
        <c:axPos val="l"/>
        <c:numFmt formatCode="_(* #,##0_);_(* \(#,##0\);_(* &quot;-&quot;??_);_(@_)" sourceLinked="1"/>
        <c:majorTickMark val="none"/>
        <c:minorTickMark val="none"/>
        <c:tickLblPos val="nextTo"/>
        <c:crossAx val="877109960"/>
        <c:crosses val="autoZero"/>
        <c:crossBetween val="between"/>
      </c:valAx>
    </c:plotArea>
    <c:legend>
      <c:legendPos val="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Cobertura de Afiliación de Pensionados al SFS</a:t>
            </a:r>
          </a:p>
        </c:rich>
      </c:tx>
      <c:layout>
        <c:manualLayout>
          <c:xMode val="edge"/>
          <c:yMode val="edge"/>
          <c:x val="0.30902529601094808"/>
          <c:y val="2.2946592532058843E-2"/>
        </c:manualLayout>
      </c:layout>
      <c:overlay val="0"/>
    </c:title>
    <c:autoTitleDeleted val="0"/>
    <c:plotArea>
      <c:layout>
        <c:manualLayout>
          <c:layoutTarget val="inner"/>
          <c:xMode val="edge"/>
          <c:yMode val="edge"/>
          <c:x val="2.013434409987876E-2"/>
          <c:y val="0.14242328337538057"/>
          <c:w val="0.96026203682435718"/>
          <c:h val="0.74112881879580839"/>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dPt>
          <c:dLbls>
            <c:dLbl>
              <c:idx val="12"/>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III.4.4.Cob.Afil. SFSP Mensual'!$A$4:$A$16</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 III.4.4.Cob.Afil. SFSP Mensual'!$B$4:$B$16</c:f>
              <c:numCache>
                <c:formatCode>_(* #,##0_);_(* \(#,##0\);_(* "-"_);_(@_)</c:formatCode>
                <c:ptCount val="13"/>
                <c:pt idx="0">
                  <c:v>29898</c:v>
                </c:pt>
                <c:pt idx="1">
                  <c:v>30030</c:v>
                </c:pt>
                <c:pt idx="2">
                  <c:v>30087</c:v>
                </c:pt>
                <c:pt idx="3">
                  <c:v>30316</c:v>
                </c:pt>
                <c:pt idx="4">
                  <c:v>30389</c:v>
                </c:pt>
                <c:pt idx="5">
                  <c:v>30237</c:v>
                </c:pt>
                <c:pt idx="6">
                  <c:v>30470</c:v>
                </c:pt>
                <c:pt idx="7">
                  <c:v>30485</c:v>
                </c:pt>
                <c:pt idx="8">
                  <c:v>30622</c:v>
                </c:pt>
                <c:pt idx="9">
                  <c:v>30655</c:v>
                </c:pt>
                <c:pt idx="10">
                  <c:v>30950</c:v>
                </c:pt>
                <c:pt idx="11">
                  <c:v>30599</c:v>
                </c:pt>
                <c:pt idx="12">
                  <c:v>30733</c:v>
                </c:pt>
              </c:numCache>
            </c:numRef>
          </c:val>
        </c:ser>
        <c:dLbls>
          <c:showLegendKey val="0"/>
          <c:showVal val="0"/>
          <c:showCatName val="0"/>
          <c:showSerName val="0"/>
          <c:showPercent val="0"/>
          <c:showBubbleSize val="0"/>
        </c:dLbls>
        <c:gapWidth val="75"/>
        <c:overlap val="-25"/>
        <c:axId val="877111136"/>
        <c:axId val="884027840"/>
      </c:barChart>
      <c:catAx>
        <c:axId val="877111136"/>
        <c:scaling>
          <c:orientation val="minMax"/>
        </c:scaling>
        <c:delete val="0"/>
        <c:axPos val="b"/>
        <c:numFmt formatCode="General" sourceLinked="0"/>
        <c:majorTickMark val="none"/>
        <c:minorTickMark val="none"/>
        <c:tickLblPos val="nextTo"/>
        <c:txPr>
          <a:bodyPr/>
          <a:lstStyle/>
          <a:p>
            <a:pPr>
              <a:defRPr sz="1600"/>
            </a:pPr>
            <a:endParaRPr lang="es-ES"/>
          </a:p>
        </c:txPr>
        <c:crossAx val="884027840"/>
        <c:crosses val="autoZero"/>
        <c:auto val="1"/>
        <c:lblAlgn val="ctr"/>
        <c:lblOffset val="100"/>
        <c:noMultiLvlLbl val="0"/>
      </c:catAx>
      <c:valAx>
        <c:axId val="884027840"/>
        <c:scaling>
          <c:orientation val="minMax"/>
        </c:scaling>
        <c:delete val="1"/>
        <c:axPos val="l"/>
        <c:numFmt formatCode="_(* #,##0_);_(* \(#,##0\);_(* &quot;-&quot;_);_(@_)" sourceLinked="1"/>
        <c:majorTickMark val="none"/>
        <c:minorTickMark val="none"/>
        <c:tickLblPos val="nextTo"/>
        <c:crossAx val="877111136"/>
        <c:crosses val="autoZero"/>
        <c:crossBetween val="between"/>
      </c:valAx>
    </c:plotArea>
    <c:legend>
      <c:legendPos val="t"/>
      <c:layout>
        <c:manualLayout>
          <c:xMode val="edge"/>
          <c:yMode val="edge"/>
          <c:x val="4.9999985053349079E-2"/>
          <c:y val="8.2871965961003102E-2"/>
          <c:w val="0.89999995516004727"/>
          <c:h val="4.8854682260079094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3340381616572529"/>
          <c:y val="1.0321799575684637E-2"/>
        </c:manualLayout>
      </c:layout>
      <c:overlay val="1"/>
    </c:title>
    <c:autoTitleDeleted val="0"/>
    <c:plotArea>
      <c:layout>
        <c:manualLayout>
          <c:layoutTarget val="inner"/>
          <c:xMode val="edge"/>
          <c:yMode val="edge"/>
          <c:x val="5.2610648088002296E-2"/>
          <c:y val="0.15482695958163092"/>
          <c:w val="0.88347995173569194"/>
          <c:h val="0.69307354766943685"/>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9.9604689725541193E-18"/>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0"/>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7.9683751780432955E-17"/>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7.9683751780432955E-17"/>
                  <c:y val="1.2781953625998616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0651628021665657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7.9683751780432955E-17"/>
                  <c:y val="1.0651628021665579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8"/>
              <c:layout>
                <c:manualLayout>
                  <c:x val="3.2598275029337106E-3"/>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0"/>
                  <c:y val="6.3909768129993471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2781953625998616E-2"/>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11"/>
              <c:layout>
                <c:manualLayout>
                  <c:x val="3.2598275029334716E-3"/>
                  <c:y val="8.5213024173324634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Jun. 2015</c:v>
                </c:pt>
              </c:strCache>
            </c:strRef>
          </c:cat>
          <c:val>
            <c:numRef>
              <c:f>'III.5.3.Afil. SVDS'!$B$4:$B$16</c:f>
              <c:numCache>
                <c:formatCode>#,##0</c:formatCode>
                <c:ptCount val="13"/>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1553760</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0"/>
              <c:layout>
                <c:manualLayout>
                  <c:x val="-1.0445468813202283E-3"/>
                  <c:y val="3.017786559905662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3.0177865599055821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1.5284001397543971E-5"/>
                  <c:y val="2.1255257642479975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2.072050426029213E-3"/>
                  <c:y val="8.517205018673191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0"/>
                  <c:y val="4.27660096699434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7.652868565603688E-17"/>
                  <c:y val="8.5053176652434212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2757976497865132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8.7347462186545856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3.1156354676920863E-3"/>
                  <c:y val="4.2526588326217106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11"/>
              <c:layout>
                <c:manualLayout>
                  <c:x val="-6.5196550058674212E-3"/>
                  <c:y val="0"/>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Jun. 2015</c:v>
                </c:pt>
              </c:strCache>
            </c:strRef>
          </c:cat>
          <c:val>
            <c:numRef>
              <c:f>'III.5.3.Afil. SVDS'!$C$4:$C$16</c:f>
              <c:numCache>
                <c:formatCode>#,##0</c:formatCode>
                <c:ptCount val="13"/>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3164622</c:v>
                </c:pt>
              </c:numCache>
            </c:numRef>
          </c:val>
        </c:ser>
        <c:dLbls>
          <c:showLegendKey val="0"/>
          <c:showVal val="0"/>
          <c:showCatName val="0"/>
          <c:showSerName val="0"/>
          <c:showPercent val="0"/>
          <c:showBubbleSize val="0"/>
        </c:dLbls>
        <c:gapWidth val="60"/>
        <c:axId val="884034896"/>
        <c:axId val="884034504"/>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2"/>
              <c:layout>
                <c:manualLayout>
                  <c:x val="-2.1197513013587643E-2"/>
                  <c:y val="-3.47787127302170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953099151754357E-2"/>
                  <c:y val="-3.902333504221015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1.8112609892791769E-2"/>
                  <c:y val="3.97541561368713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spPr/>
              <c:txPr>
                <a:bodyPr/>
                <a:lstStyle/>
                <a:p>
                  <a:pPr>
                    <a:defRPr sz="1400" b="0"/>
                  </a:pPr>
                  <a:endParaRPr lang="es-ES"/>
                </a:p>
              </c:txPr>
              <c:dLblPos val="t"/>
              <c:showLegendKey val="0"/>
              <c:showVal val="1"/>
              <c:showCatName val="0"/>
              <c:showSerName val="0"/>
              <c:showPercent val="0"/>
              <c:showBubbleSize val="0"/>
            </c:dLbl>
            <c:dLbl>
              <c:idx val="11"/>
              <c:spPr/>
              <c:txPr>
                <a:bodyPr/>
                <a:lstStyle/>
                <a:p>
                  <a:pPr>
                    <a:defRPr sz="1400" b="0"/>
                  </a:pPr>
                  <a:endParaRPr lang="es-ES"/>
                </a:p>
              </c:txPr>
              <c:dLblPos val="t"/>
              <c:showLegendKey val="0"/>
              <c:showVal val="1"/>
              <c:showCatName val="0"/>
              <c:showSerName val="0"/>
              <c:showPercent val="0"/>
              <c:showBubbleSize val="0"/>
            </c:dLbl>
            <c:spPr>
              <a:noFill/>
              <a:ln>
                <a:noFill/>
              </a:ln>
              <a:effectLst/>
            </c:spPr>
            <c:txPr>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Jun. 2015</c:v>
                </c:pt>
              </c:strCache>
            </c:strRef>
          </c:cat>
          <c:val>
            <c:numRef>
              <c:f>'III.5.3.Afil. SVDS'!$D$4:$D$16</c:f>
              <c:numCache>
                <c:formatCode>0.0%</c:formatCode>
                <c:ptCount val="13"/>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0.4909780694187173</c:v>
                </c:pt>
              </c:numCache>
            </c:numRef>
          </c:val>
          <c:smooth val="0"/>
        </c:ser>
        <c:dLbls>
          <c:showLegendKey val="0"/>
          <c:showVal val="0"/>
          <c:showCatName val="0"/>
          <c:showSerName val="0"/>
          <c:showPercent val="0"/>
          <c:showBubbleSize val="0"/>
        </c:dLbls>
        <c:marker val="1"/>
        <c:smooth val="0"/>
        <c:axId val="884033720"/>
        <c:axId val="884034112"/>
      </c:lineChart>
      <c:catAx>
        <c:axId val="884034896"/>
        <c:scaling>
          <c:orientation val="minMax"/>
        </c:scaling>
        <c:delete val="0"/>
        <c:axPos val="b"/>
        <c:numFmt formatCode="General" sourceLinked="1"/>
        <c:majorTickMark val="out"/>
        <c:minorTickMark val="none"/>
        <c:tickLblPos val="nextTo"/>
        <c:txPr>
          <a:bodyPr/>
          <a:lstStyle/>
          <a:p>
            <a:pPr>
              <a:defRPr sz="1400"/>
            </a:pPr>
            <a:endParaRPr lang="es-ES"/>
          </a:p>
        </c:txPr>
        <c:crossAx val="884034504"/>
        <c:crosses val="autoZero"/>
        <c:auto val="1"/>
        <c:lblAlgn val="ctr"/>
        <c:lblOffset val="100"/>
        <c:noMultiLvlLbl val="0"/>
      </c:catAx>
      <c:valAx>
        <c:axId val="884034504"/>
        <c:scaling>
          <c:orientation val="minMax"/>
        </c:scaling>
        <c:delete val="0"/>
        <c:axPos val="l"/>
        <c:numFmt formatCode="#,##0" sourceLinked="1"/>
        <c:majorTickMark val="out"/>
        <c:minorTickMark val="none"/>
        <c:tickLblPos val="nextTo"/>
        <c:crossAx val="884034896"/>
        <c:crosses val="autoZero"/>
        <c:crossBetween val="between"/>
      </c:valAx>
      <c:valAx>
        <c:axId val="884034112"/>
        <c:scaling>
          <c:orientation val="minMax"/>
          <c:max val="1"/>
        </c:scaling>
        <c:delete val="0"/>
        <c:axPos val="r"/>
        <c:numFmt formatCode="0.0%" sourceLinked="1"/>
        <c:majorTickMark val="out"/>
        <c:minorTickMark val="none"/>
        <c:tickLblPos val="nextTo"/>
        <c:crossAx val="884033720"/>
        <c:crosses val="max"/>
        <c:crossBetween val="between"/>
      </c:valAx>
      <c:catAx>
        <c:axId val="884033720"/>
        <c:scaling>
          <c:orientation val="minMax"/>
        </c:scaling>
        <c:delete val="1"/>
        <c:axPos val="b"/>
        <c:numFmt formatCode="General" sourceLinked="1"/>
        <c:majorTickMark val="out"/>
        <c:minorTickMark val="none"/>
        <c:tickLblPos val="nextTo"/>
        <c:crossAx val="884034112"/>
        <c:crosses val="autoZero"/>
        <c:auto val="1"/>
        <c:lblAlgn val="ctr"/>
        <c:lblOffset val="100"/>
        <c:noMultiLvlLbl val="0"/>
      </c:catAx>
    </c:plotArea>
    <c:legend>
      <c:legendPos val="r"/>
      <c:layout>
        <c:manualLayout>
          <c:xMode val="edge"/>
          <c:yMode val="edge"/>
          <c:x val="0.23250279461244847"/>
          <c:y val="0.12020671911149912"/>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84077658231651E-2"/>
          <c:y val="0.34032966033905265"/>
          <c:w val="0.92370261928402642"/>
          <c:h val="0.49689405356408728"/>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'III.5.4.Afil. SVDS mensual'!$B$4:$B$16</c:f>
              <c:numCache>
                <c:formatCode>#,##0</c:formatCode>
                <c:ptCount val="13"/>
                <c:pt idx="0">
                  <c:v>1429452</c:v>
                </c:pt>
                <c:pt idx="1">
                  <c:v>1449141</c:v>
                </c:pt>
                <c:pt idx="2">
                  <c:v>1420010</c:v>
                </c:pt>
                <c:pt idx="3">
                  <c:v>1451258</c:v>
                </c:pt>
                <c:pt idx="4">
                  <c:v>1472311</c:v>
                </c:pt>
                <c:pt idx="5">
                  <c:v>1444579</c:v>
                </c:pt>
                <c:pt idx="6">
                  <c:v>1508392</c:v>
                </c:pt>
                <c:pt idx="7">
                  <c:v>1423196</c:v>
                </c:pt>
                <c:pt idx="8">
                  <c:v>1490792</c:v>
                </c:pt>
                <c:pt idx="9">
                  <c:v>1539313</c:v>
                </c:pt>
                <c:pt idx="10">
                  <c:v>1513581</c:v>
                </c:pt>
                <c:pt idx="11">
                  <c:v>1530988</c:v>
                </c:pt>
                <c:pt idx="12">
                  <c:v>1553760</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ysClr val="windowText" lastClr="0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'III.5.4.Afil. SVDS mensual'!$C$4:$C$16</c:f>
              <c:numCache>
                <c:formatCode>#,##0</c:formatCode>
                <c:ptCount val="13"/>
                <c:pt idx="0">
                  <c:v>2968885</c:v>
                </c:pt>
                <c:pt idx="1">
                  <c:v>2983609</c:v>
                </c:pt>
                <c:pt idx="2">
                  <c:v>3000209</c:v>
                </c:pt>
                <c:pt idx="3">
                  <c:v>3015120</c:v>
                </c:pt>
                <c:pt idx="4">
                  <c:v>3032720</c:v>
                </c:pt>
                <c:pt idx="5">
                  <c:v>3053477</c:v>
                </c:pt>
                <c:pt idx="6">
                  <c:v>3069900</c:v>
                </c:pt>
                <c:pt idx="7">
                  <c:v>3082709</c:v>
                </c:pt>
                <c:pt idx="8">
                  <c:v>3096282</c:v>
                </c:pt>
                <c:pt idx="9">
                  <c:v>3113536</c:v>
                </c:pt>
                <c:pt idx="10">
                  <c:v>3130659</c:v>
                </c:pt>
                <c:pt idx="11">
                  <c:v>3148124</c:v>
                </c:pt>
                <c:pt idx="12">
                  <c:v>3164622</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884032544"/>
        <c:axId val="88403215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0"/>
              <c:layout>
                <c:manualLayout>
                  <c:x val="-3.491739181154431E-2"/>
                  <c:y val="-3.87861673921156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b="1"/>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'III.5.4.Afil. SVDS mensual'!$D$4:$D$16</c:f>
              <c:numCache>
                <c:formatCode>0.0%</c:formatCode>
                <c:ptCount val="13"/>
                <c:pt idx="0">
                  <c:v>0.48147772648654291</c:v>
                </c:pt>
                <c:pt idx="1">
                  <c:v>0.48570070676150928</c:v>
                </c:pt>
                <c:pt idx="2">
                  <c:v>0.4733036931760421</c:v>
                </c:pt>
                <c:pt idx="3">
                  <c:v>0.48132677969699383</c:v>
                </c:pt>
                <c:pt idx="4">
                  <c:v>0.48547541480914824</c:v>
                </c:pt>
                <c:pt idx="5">
                  <c:v>0.47309313284495019</c:v>
                </c:pt>
                <c:pt idx="6">
                  <c:v>0.49134890387309033</c:v>
                </c:pt>
                <c:pt idx="7">
                  <c:v>0.46167056313132376</c:v>
                </c:pt>
                <c:pt idx="8">
                  <c:v>0.48147810826016496</c:v>
                </c:pt>
                <c:pt idx="9">
                  <c:v>0.49439383389175523</c:v>
                </c:pt>
                <c:pt idx="10">
                  <c:v>0.4834704130983285</c:v>
                </c:pt>
                <c:pt idx="11">
                  <c:v>0.48631756563591522</c:v>
                </c:pt>
                <c:pt idx="12">
                  <c:v>0.4909780694187173</c:v>
                </c:pt>
              </c:numCache>
            </c:numRef>
          </c:val>
          <c:smooth val="0"/>
        </c:ser>
        <c:dLbls>
          <c:showLegendKey val="0"/>
          <c:showVal val="0"/>
          <c:showCatName val="0"/>
          <c:showSerName val="0"/>
          <c:showPercent val="0"/>
          <c:showBubbleSize val="0"/>
        </c:dLbls>
        <c:hiLowLines/>
        <c:marker val="1"/>
        <c:smooth val="0"/>
        <c:axId val="884031368"/>
        <c:axId val="884031760"/>
      </c:lineChart>
      <c:catAx>
        <c:axId val="884032544"/>
        <c:scaling>
          <c:orientation val="minMax"/>
        </c:scaling>
        <c:delete val="0"/>
        <c:axPos val="b"/>
        <c:numFmt formatCode="General" sourceLinked="0"/>
        <c:majorTickMark val="none"/>
        <c:minorTickMark val="none"/>
        <c:tickLblPos val="nextTo"/>
        <c:txPr>
          <a:bodyPr/>
          <a:lstStyle/>
          <a:p>
            <a:pPr>
              <a:defRPr sz="1800"/>
            </a:pPr>
            <a:endParaRPr lang="es-ES"/>
          </a:p>
        </c:txPr>
        <c:crossAx val="884032152"/>
        <c:crosses val="autoZero"/>
        <c:auto val="1"/>
        <c:lblAlgn val="ctr"/>
        <c:lblOffset val="100"/>
        <c:noMultiLvlLbl val="0"/>
      </c:catAx>
      <c:valAx>
        <c:axId val="884032152"/>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884032544"/>
        <c:crosses val="autoZero"/>
        <c:crossBetween val="between"/>
      </c:valAx>
      <c:valAx>
        <c:axId val="884031760"/>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884031368"/>
        <c:crosses val="max"/>
        <c:crossBetween val="between"/>
      </c:valAx>
      <c:catAx>
        <c:axId val="884031368"/>
        <c:scaling>
          <c:orientation val="minMax"/>
        </c:scaling>
        <c:delete val="1"/>
        <c:axPos val="b"/>
        <c:numFmt formatCode="General" sourceLinked="1"/>
        <c:majorTickMark val="out"/>
        <c:minorTickMark val="none"/>
        <c:tickLblPos val="nextTo"/>
        <c:crossAx val="884031760"/>
        <c:crosses val="autoZero"/>
        <c:auto val="1"/>
        <c:lblAlgn val="ctr"/>
        <c:lblOffset val="100"/>
        <c:noMultiLvlLbl val="0"/>
      </c:catAx>
      <c:spPr>
        <a:ln>
          <a:solidFill>
            <a:schemeClr val="bg1"/>
          </a:solidFill>
        </a:ln>
      </c:spPr>
    </c:plotArea>
    <c:legend>
      <c:legendPos val="r"/>
      <c:layout>
        <c:manualLayout>
          <c:xMode val="edge"/>
          <c:yMode val="edge"/>
          <c:x val="0.18779918597131881"/>
          <c:y val="8.684857875593481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97655247210807E-2"/>
          <c:y val="0.26778870177104164"/>
          <c:w val="0.86420796268866062"/>
          <c:h val="0.57282644391187931"/>
        </c:manualLayout>
      </c:layout>
      <c:lineChart>
        <c:grouping val="standard"/>
        <c:varyColors val="0"/>
        <c:ser>
          <c:idx val="0"/>
          <c:order val="0"/>
          <c:tx>
            <c:strRef>
              <c:f>'III.5.5.Afil. cotiz.'!$B$2</c:f>
              <c:strCache>
                <c:ptCount val="1"/>
                <c:pt idx="0">
                  <c:v>Afiliados</c:v>
                </c:pt>
              </c:strCache>
            </c:strRef>
          </c:tx>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'III.5.5.Afil. cotiz.'!$B$3:$B$14</c:f>
            </c:numRef>
          </c:val>
          <c:smooth val="0"/>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902675671121962E-2"/>
                  <c:y val="5.461847303199442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999499569036684E-2"/>
                  <c:y val="4.779116390299522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'III.5.5.Afil. cotiz.'!$C$3:$C$15</c:f>
              <c:numCache>
                <c:formatCode>#,##0</c:formatCode>
                <c:ptCount val="11"/>
                <c:pt idx="0">
                  <c:v>626615</c:v>
                </c:pt>
                <c:pt idx="1">
                  <c:v>808496</c:v>
                </c:pt>
                <c:pt idx="2">
                  <c:v>913203</c:v>
                </c:pt>
                <c:pt idx="3">
                  <c:v>929743</c:v>
                </c:pt>
                <c:pt idx="4">
                  <c:v>1118293</c:v>
                </c:pt>
                <c:pt idx="5">
                  <c:v>1189601</c:v>
                </c:pt>
                <c:pt idx="6">
                  <c:v>1242780</c:v>
                </c:pt>
                <c:pt idx="7">
                  <c:v>1291137</c:v>
                </c:pt>
                <c:pt idx="8">
                  <c:v>1376966</c:v>
                </c:pt>
                <c:pt idx="9">
                  <c:v>1508392</c:v>
                </c:pt>
                <c:pt idx="10">
                  <c:v>1553760</c:v>
                </c:pt>
              </c:numCache>
            </c:numRef>
          </c:val>
          <c:smooth val="0"/>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'III.5.5.Afil. cotiz.'!$D$3:$D$15</c:f>
              <c:numCache>
                <c:formatCode>#,##0</c:formatCode>
                <c:ptCount val="11"/>
                <c:pt idx="0">
                  <c:v>1437260</c:v>
                </c:pt>
                <c:pt idx="1">
                  <c:v>1505582.5</c:v>
                </c:pt>
                <c:pt idx="2">
                  <c:v>1571911.5</c:v>
                </c:pt>
                <c:pt idx="3">
                  <c:v>1566047</c:v>
                </c:pt>
                <c:pt idx="4">
                  <c:v>1560994</c:v>
                </c:pt>
                <c:pt idx="5">
                  <c:v>1631129</c:v>
                </c:pt>
                <c:pt idx="6">
                  <c:v>1686216</c:v>
                </c:pt>
                <c:pt idx="7">
                  <c:v>1716228</c:v>
                </c:pt>
                <c:pt idx="8">
                  <c:v>1769801</c:v>
                </c:pt>
                <c:pt idx="9">
                  <c:v>1865496</c:v>
                </c:pt>
                <c:pt idx="10">
                  <c:v>1865496</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884030584"/>
        <c:axId val="884030192"/>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0"/>
              <c:layout>
                <c:manualLayout>
                  <c:x val="-3.4016390945791945E-2"/>
                  <c:y val="-1.79526627361434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7285707703123283E-2"/>
                  <c:y val="1.089269115389257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7285621896536648E-2"/>
                  <c:y val="-1.093446815171554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9465109197033117E-2"/>
                  <c:y val="-2.100854167738083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4.1642478168630301E-2"/>
                  <c:y val="3.269514006625458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9465109197033117E-2"/>
                  <c:y val="7.5346666453375436E-3"/>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9465109197033117E-2"/>
                  <c:y val="-1.261348040599309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5106134596040103E-2"/>
                  <c:y val="-1.59715049145481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7285719625104283E-2"/>
                  <c:y val="-2.274934084654319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4014293528609602E-2"/>
                  <c:y val="-2.519599557409437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3.1536677210473506E-2"/>
                  <c:y val="-3.015321981226933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'III.5.5.Afil. cotiz.'!$E$3:$E$15</c:f>
              <c:numCache>
                <c:formatCode>0.00%</c:formatCode>
                <c:ptCount val="11"/>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0.83289377195126657</c:v>
                </c:pt>
              </c:numCache>
            </c:numRef>
          </c:val>
          <c:smooth val="0"/>
        </c:ser>
        <c:dLbls>
          <c:showLegendKey val="0"/>
          <c:showVal val="0"/>
          <c:showCatName val="0"/>
          <c:showSerName val="0"/>
          <c:showPercent val="0"/>
          <c:showBubbleSize val="0"/>
        </c:dLbls>
        <c:hiLowLines/>
        <c:marker val="1"/>
        <c:smooth val="0"/>
        <c:axId val="884028232"/>
        <c:axId val="884029800"/>
      </c:lineChart>
      <c:catAx>
        <c:axId val="884030584"/>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884030192"/>
        <c:crosses val="autoZero"/>
        <c:auto val="1"/>
        <c:lblAlgn val="ctr"/>
        <c:lblOffset val="100"/>
        <c:noMultiLvlLbl val="0"/>
      </c:catAx>
      <c:valAx>
        <c:axId val="884030192"/>
        <c:scaling>
          <c:orientation val="minMax"/>
        </c:scaling>
        <c:delete val="0"/>
        <c:axPos val="l"/>
        <c:numFmt formatCode="#,##0" sourceLinked="1"/>
        <c:majorTickMark val="out"/>
        <c:minorTickMark val="none"/>
        <c:tickLblPos val="nextTo"/>
        <c:crossAx val="884030584"/>
        <c:crosses val="autoZero"/>
        <c:crossBetween val="between"/>
        <c:majorUnit val="500000"/>
      </c:valAx>
      <c:valAx>
        <c:axId val="884029800"/>
        <c:scaling>
          <c:orientation val="minMax"/>
          <c:max val="1"/>
        </c:scaling>
        <c:delete val="0"/>
        <c:axPos val="r"/>
        <c:numFmt formatCode="0.00%" sourceLinked="1"/>
        <c:majorTickMark val="out"/>
        <c:minorTickMark val="none"/>
        <c:tickLblPos val="nextTo"/>
        <c:crossAx val="884028232"/>
        <c:crosses val="max"/>
        <c:crossBetween val="between"/>
      </c:valAx>
      <c:catAx>
        <c:axId val="884028232"/>
        <c:scaling>
          <c:orientation val="minMax"/>
        </c:scaling>
        <c:delete val="1"/>
        <c:axPos val="b"/>
        <c:numFmt formatCode="General" sourceLinked="1"/>
        <c:majorTickMark val="out"/>
        <c:minorTickMark val="none"/>
        <c:tickLblPos val="nextTo"/>
        <c:crossAx val="884029800"/>
        <c:crosses val="autoZero"/>
        <c:auto val="1"/>
        <c:lblAlgn val="ctr"/>
        <c:lblOffset val="100"/>
        <c:noMultiLvlLbl val="0"/>
      </c:catAx>
    </c:plotArea>
    <c:legend>
      <c:legendPos val="r"/>
      <c:layout>
        <c:manualLayout>
          <c:xMode val="edge"/>
          <c:yMode val="edge"/>
          <c:x val="0.17301709445660637"/>
          <c:y val="0.10123447963136831"/>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995225254377438"/>
          <c:h val="0.5963180427088421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21323</c:v>
                </c:pt>
                <c:pt idx="1">
                  <c:v>195238</c:v>
                </c:pt>
                <c:pt idx="2">
                  <c:v>244094</c:v>
                </c:pt>
                <c:pt idx="3">
                  <c:v>232130</c:v>
                </c:pt>
                <c:pt idx="4">
                  <c:v>212426</c:v>
                </c:pt>
                <c:pt idx="5">
                  <c:v>178444</c:v>
                </c:pt>
                <c:pt idx="6">
                  <c:v>153339</c:v>
                </c:pt>
                <c:pt idx="7">
                  <c:v>119362</c:v>
                </c:pt>
                <c:pt idx="8">
                  <c:v>84941</c:v>
                </c:pt>
                <c:pt idx="9">
                  <c:v>112463</c:v>
                </c:pt>
              </c:numCache>
            </c:numRef>
          </c:val>
        </c:ser>
        <c:dLbls>
          <c:showLegendKey val="0"/>
          <c:showVal val="0"/>
          <c:showCatName val="0"/>
          <c:showSerName val="0"/>
          <c:showPercent val="0"/>
          <c:showBubbleSize val="0"/>
        </c:dLbls>
        <c:gapWidth val="14"/>
        <c:shape val="cylinder"/>
        <c:axId val="884013728"/>
        <c:axId val="884024312"/>
        <c:axId val="0"/>
      </c:bar3DChart>
      <c:catAx>
        <c:axId val="884013728"/>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884024312"/>
        <c:crosses val="autoZero"/>
        <c:auto val="1"/>
        <c:lblAlgn val="ctr"/>
        <c:lblOffset val="100"/>
        <c:noMultiLvlLbl val="0"/>
      </c:catAx>
      <c:valAx>
        <c:axId val="884024312"/>
        <c:scaling>
          <c:orientation val="minMax"/>
        </c:scaling>
        <c:delete val="1"/>
        <c:axPos val="l"/>
        <c:numFmt formatCode="#,##0" sourceLinked="1"/>
        <c:majorTickMark val="none"/>
        <c:minorTickMark val="none"/>
        <c:tickLblPos val="nextTo"/>
        <c:crossAx val="88401372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5329956748876553E-2"/>
                  <c:y val="-0.3119202441450912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95702211992499E-2"/>
                  <c:y val="-0.308721923584736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971259494205236E-2"/>
                  <c:y val="-9.663006131917736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300319746845666E-2"/>
                  <c:y val="-0.1093427135223143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333542582130153E-2"/>
                  <c:y val="-6.7563621674566851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511889</c:v>
                </c:pt>
                <c:pt idx="1">
                  <c:v>545616</c:v>
                </c:pt>
                <c:pt idx="2">
                  <c:v>178663</c:v>
                </c:pt>
                <c:pt idx="3">
                  <c:v>97141</c:v>
                </c:pt>
                <c:pt idx="4">
                  <c:v>129678</c:v>
                </c:pt>
                <c:pt idx="5">
                  <c:v>36598</c:v>
                </c:pt>
                <c:pt idx="6">
                  <c:v>20367</c:v>
                </c:pt>
                <c:pt idx="7">
                  <c:v>18964</c:v>
                </c:pt>
                <c:pt idx="8">
                  <c:v>14844</c:v>
                </c:pt>
              </c:numCache>
            </c:numRef>
          </c:val>
        </c:ser>
        <c:dLbls>
          <c:showLegendKey val="0"/>
          <c:showVal val="0"/>
          <c:showCatName val="0"/>
          <c:showSerName val="0"/>
          <c:showPercent val="0"/>
          <c:showBubbleSize val="0"/>
        </c:dLbls>
        <c:gapWidth val="12"/>
        <c:shape val="cylinder"/>
        <c:axId val="884022744"/>
        <c:axId val="884020392"/>
        <c:axId val="0"/>
      </c:bar3DChart>
      <c:catAx>
        <c:axId val="884022744"/>
        <c:scaling>
          <c:orientation val="minMax"/>
        </c:scaling>
        <c:delete val="0"/>
        <c:axPos val="b"/>
        <c:numFmt formatCode="General" sourceLinked="1"/>
        <c:majorTickMark val="none"/>
        <c:minorTickMark val="none"/>
        <c:tickLblPos val="nextTo"/>
        <c:txPr>
          <a:bodyPr/>
          <a:lstStyle/>
          <a:p>
            <a:pPr>
              <a:defRPr lang="en-US" sz="1400"/>
            </a:pPr>
            <a:endParaRPr lang="es-ES"/>
          </a:p>
        </c:txPr>
        <c:crossAx val="884020392"/>
        <c:crosses val="autoZero"/>
        <c:auto val="1"/>
        <c:lblAlgn val="ctr"/>
        <c:lblOffset val="100"/>
        <c:noMultiLvlLbl val="0"/>
      </c:catAx>
      <c:valAx>
        <c:axId val="884020392"/>
        <c:scaling>
          <c:orientation val="minMax"/>
        </c:scaling>
        <c:delete val="1"/>
        <c:axPos val="l"/>
        <c:numFmt formatCode="#,##0" sourceLinked="1"/>
        <c:majorTickMark val="none"/>
        <c:minorTickMark val="none"/>
        <c:tickLblPos val="nextTo"/>
        <c:crossAx val="884022744"/>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Distribución de Afiliados Cotizantes por AFP's y Fondos de Reparto</a:t>
            </a:r>
            <a:endParaRPr lang="es-ES"/>
          </a:p>
          <a:p>
            <a:pPr>
              <a:defRPr/>
            </a:pPr>
            <a:endParaRPr lang="en-US"/>
          </a:p>
        </c:rich>
      </c:tx>
      <c:layout>
        <c:manualLayout>
          <c:xMode val="edge"/>
          <c:yMode val="edge"/>
          <c:x val="0.22525881156172076"/>
          <c:y val="4.179397924491245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84994870705305"/>
          <c:y val="0.41869003585693509"/>
          <c:w val="0.50434475945737056"/>
          <c:h val="0.47167774552906638"/>
        </c:manualLayout>
      </c:layout>
      <c:pie3DChart>
        <c:varyColors val="1"/>
        <c:ser>
          <c:idx val="0"/>
          <c:order val="0"/>
          <c:tx>
            <c:strRef>
              <c:f>'III.5.8.Cotiz.x AFP y fondos'!$A$4</c:f>
              <c:strCache>
                <c:ptCount val="1"/>
                <c:pt idx="0">
                  <c:v>Jun.15</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5.7389434762823634E-2"/>
                  <c:y val="-8.439718129960273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FB0FB1A-ACF7-4CAE-BD41-28E41C5C7C0C}" type="CATEGORYNAME">
                      <a:rPr lang="en-US"/>
                      <a:pPr>
                        <a:defRPr sz="1600"/>
                      </a:pPr>
                      <a:t>[NOMBRE DE CATEGORÍA]</a:t>
                    </a:fld>
                    <a:r>
                      <a:rPr lang="en-US" baseline="0"/>
                      <a:t> </a:t>
                    </a:r>
                  </a:p>
                  <a:p>
                    <a:pPr>
                      <a:defRPr sz="1600"/>
                    </a:pPr>
                    <a:fld id="{DC32DBE6-3B38-4B5C-A728-30637E630F15}" type="VALUE">
                      <a:rPr lang="en-US" baseline="0"/>
                      <a:pPr>
                        <a:defRPr sz="1600"/>
                      </a:pPr>
                      <a:t>[VALOR]</a:t>
                    </a:fld>
                    <a:endParaRPr lang="en-US" baseline="0"/>
                  </a:p>
                  <a:p>
                    <a:pPr>
                      <a:defRPr sz="1600"/>
                    </a:pPr>
                    <a:r>
                      <a:rPr lang="en-US" baseline="0"/>
                      <a:t> </a:t>
                    </a:r>
                    <a:fld id="{D2552579-6CB0-424A-B85B-EDE863EB4188}" type="PERCENTAGE">
                      <a:rPr lang="en-US" baseline="0"/>
                      <a:pPr>
                        <a:defRPr sz="1600"/>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1.9129811587607803E-2"/>
                  <c:y val="-8.267478984450873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9CF876-8368-4AEA-A56D-293728B557AD}" type="CATEGORYNAME">
                      <a:rPr lang="en-US"/>
                      <a:pPr>
                        <a:defRPr sz="1600">
                          <a:solidFill>
                            <a:schemeClr val="accent1"/>
                          </a:solidFill>
                        </a:defRPr>
                      </a:pPr>
                      <a:t>[NOMBRE DE CATEGORÍA]</a:t>
                    </a:fld>
                    <a:r>
                      <a:rPr lang="en-US" baseline="0"/>
                      <a:t> </a:t>
                    </a:r>
                  </a:p>
                  <a:p>
                    <a:pPr>
                      <a:defRPr sz="1600">
                        <a:solidFill>
                          <a:schemeClr val="accent1"/>
                        </a:solidFill>
                      </a:defRPr>
                    </a:pPr>
                    <a:fld id="{A16977C7-A325-4F5A-82E3-63535EA1F135}" type="VALUE">
                      <a:rPr lang="en-US" baseline="0"/>
                      <a:pPr>
                        <a:defRPr sz="1600">
                          <a:solidFill>
                            <a:schemeClr val="accent1"/>
                          </a:solidFill>
                        </a:defRPr>
                      </a:pPr>
                      <a:t>[VALOR]</a:t>
                    </a:fld>
                    <a:endParaRPr lang="en-US" baseline="0"/>
                  </a:p>
                  <a:p>
                    <a:pPr>
                      <a:defRPr sz="1600">
                        <a:solidFill>
                          <a:schemeClr val="accent1"/>
                        </a:solidFill>
                      </a:defRPr>
                    </a:pPr>
                    <a:r>
                      <a:rPr lang="en-US" baseline="0"/>
                      <a:t> </a:t>
                    </a:r>
                    <a:fld id="{4A89CADE-9BFC-43CB-A159-F1CFDA7156A2}"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2.416397253171514E-2"/>
                  <c:y val="-1.205674018565752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5EC433F-2CE3-43CC-86AB-5124B2B5049D}" type="CATEGORYNAME">
                      <a:rPr lang="en-US"/>
                      <a:pPr>
                        <a:defRPr sz="1600">
                          <a:solidFill>
                            <a:schemeClr val="accent1"/>
                          </a:solidFill>
                        </a:defRPr>
                      </a:pPr>
                      <a:t>[NOMBRE DE CATEGORÍA]</a:t>
                    </a:fld>
                    <a:r>
                      <a:rPr lang="en-US" baseline="0"/>
                      <a:t> </a:t>
                    </a:r>
                  </a:p>
                  <a:p>
                    <a:pPr>
                      <a:defRPr sz="1600">
                        <a:solidFill>
                          <a:schemeClr val="accent1"/>
                        </a:solidFill>
                      </a:defRPr>
                    </a:pPr>
                    <a:fld id="{9AE49D56-4BE8-46D9-9A38-63B27729AB4E}" type="VALUE">
                      <a:rPr lang="en-US" baseline="0"/>
                      <a:pPr>
                        <a:defRPr sz="1600">
                          <a:solidFill>
                            <a:schemeClr val="accent1"/>
                          </a:solidFill>
                        </a:defRPr>
                      </a:pPr>
                      <a:t>[VALOR]</a:t>
                    </a:fld>
                    <a:endParaRPr lang="en-US" baseline="0"/>
                  </a:p>
                  <a:p>
                    <a:pPr>
                      <a:defRPr sz="1600">
                        <a:solidFill>
                          <a:schemeClr val="accent1"/>
                        </a:solidFill>
                      </a:defRPr>
                    </a:pPr>
                    <a:r>
                      <a:rPr lang="en-US" baseline="0"/>
                      <a:t> </a:t>
                    </a:r>
                    <a:fld id="{02D4008C-76E2-4FCD-A0F9-169AAB2C5F26}"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3"/>
              <c:layout>
                <c:manualLayout>
                  <c:x val="2.718446909817954E-2"/>
                  <c:y val="2.755826328150278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E5D8A28-C4BE-4596-B029-EF09CA36AECF}" type="CATEGORYNAME">
                      <a:rPr lang="en-US"/>
                      <a:pPr>
                        <a:defRPr sz="1600">
                          <a:solidFill>
                            <a:schemeClr val="accent1"/>
                          </a:solidFill>
                        </a:defRPr>
                      </a:pPr>
                      <a:t>[NOMBRE DE CATEGORÍA]</a:t>
                    </a:fld>
                    <a:endParaRPr lang="en-US"/>
                  </a:p>
                  <a:p>
                    <a:pPr>
                      <a:defRPr sz="1600">
                        <a:solidFill>
                          <a:schemeClr val="accent1"/>
                        </a:solidFill>
                      </a:defRPr>
                    </a:pPr>
                    <a:r>
                      <a:rPr lang="en-US" baseline="0"/>
                      <a:t> </a:t>
                    </a:r>
                    <a:fld id="{5F97E3C2-04D2-414E-BCD8-7F21CE212641}" type="VALUE">
                      <a:rPr lang="en-US" baseline="0"/>
                      <a:pPr>
                        <a:defRPr sz="1600">
                          <a:solidFill>
                            <a:schemeClr val="accent1"/>
                          </a:solidFill>
                        </a:defRPr>
                      </a:pPr>
                      <a:t>[VALOR]</a:t>
                    </a:fld>
                    <a:r>
                      <a:rPr lang="en-US" baseline="0"/>
                      <a:t> </a:t>
                    </a:r>
                  </a:p>
                  <a:p>
                    <a:pPr>
                      <a:defRPr sz="1600">
                        <a:solidFill>
                          <a:schemeClr val="accent1"/>
                        </a:solidFill>
                      </a:defRPr>
                    </a:pPr>
                    <a:fld id="{EFA6823C-A6A9-478F-8872-D26C3155C90E}" type="PERCENTAGE">
                      <a:rPr lang="en-US" baseline="0"/>
                      <a:pPr>
                        <a:defRPr sz="16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4"/>
              <c:layout>
                <c:manualLayout>
                  <c:x val="-4.5307448496966024E-2"/>
                  <c:y val="3.617022055697244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5A509EF-27AD-438B-A870-CB7CD8F543D3}" type="CATEGORYNAME">
                      <a:rPr lang="en-US"/>
                      <a:pPr>
                        <a:defRPr sz="1600">
                          <a:solidFill>
                            <a:schemeClr val="accent1"/>
                          </a:solidFill>
                        </a:defRPr>
                      </a:pPr>
                      <a:t>[NOMBRE DE CATEGORÍA]</a:t>
                    </a:fld>
                    <a:r>
                      <a:rPr lang="en-US" baseline="0"/>
                      <a:t> </a:t>
                    </a:r>
                  </a:p>
                  <a:p>
                    <a:pPr>
                      <a:defRPr sz="1600">
                        <a:solidFill>
                          <a:schemeClr val="accent1"/>
                        </a:solidFill>
                      </a:defRPr>
                    </a:pPr>
                    <a:fld id="{598E312E-A841-46B3-B408-1310C4139886}" type="VALUE">
                      <a:rPr lang="en-US" baseline="0"/>
                      <a:pPr>
                        <a:defRPr sz="1600">
                          <a:solidFill>
                            <a:schemeClr val="accent1"/>
                          </a:solidFill>
                        </a:defRPr>
                      </a:pPr>
                      <a:t>[VALOR]</a:t>
                    </a:fld>
                    <a:r>
                      <a:rPr lang="en-US" baseline="0"/>
                      <a:t> </a:t>
                    </a:r>
                  </a:p>
                  <a:p>
                    <a:pPr>
                      <a:defRPr sz="1600">
                        <a:solidFill>
                          <a:schemeClr val="accent1"/>
                        </a:solidFill>
                      </a:defRPr>
                    </a:pPr>
                    <a:fld id="{412FD9D5-8247-4217-9839-183B69E56CD4}" type="PERCENTAGE">
                      <a:rPr lang="en-US" baseline="0"/>
                      <a:pPr>
                        <a:defRPr sz="16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5"/>
              <c:layout>
                <c:manualLayout>
                  <c:x val="-3.7252790986394307E-2"/>
                  <c:y val="3.789261201206650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B5BE928-4BED-447D-98CE-540B076F7D9E}" type="CATEGORYNAME">
                      <a:rPr lang="en-US"/>
                      <a:pPr>
                        <a:defRPr sz="1600">
                          <a:solidFill>
                            <a:schemeClr val="accent1"/>
                          </a:solidFill>
                        </a:defRPr>
                      </a:pPr>
                      <a:t>[NOMBRE DE CATEGORÍA]</a:t>
                    </a:fld>
                    <a:r>
                      <a:rPr lang="en-US" baseline="0"/>
                      <a:t> </a:t>
                    </a:r>
                    <a:fld id="{36F1FE85-039A-4469-BA01-9DC7C43B03F7}" type="VALUE">
                      <a:rPr lang="en-US" baseline="0"/>
                      <a:pPr>
                        <a:defRPr sz="1600">
                          <a:solidFill>
                            <a:schemeClr val="accent1"/>
                          </a:solidFill>
                        </a:defRPr>
                      </a:pPr>
                      <a:t>[VALOR]</a:t>
                    </a:fld>
                    <a:endParaRPr lang="en-US" baseline="0"/>
                  </a:p>
                  <a:p>
                    <a:pPr>
                      <a:defRPr sz="1600">
                        <a:solidFill>
                          <a:schemeClr val="accent1"/>
                        </a:solidFill>
                      </a:defRPr>
                    </a:pPr>
                    <a:r>
                      <a:rPr lang="en-US" baseline="0"/>
                      <a:t> </a:t>
                    </a:r>
                    <a:fld id="{B2743854-3AE9-448A-9DA1-13CD5B6E344B}"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6"/>
              <c:layout>
                <c:manualLayout>
                  <c:x val="-2.0136643776429344E-2"/>
                  <c:y val="-2.583587182640904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36271B-E3C3-4B61-BE58-A01821D871AF}" type="CATEGORYNAME">
                      <a:rPr lang="en-US"/>
                      <a:pPr>
                        <a:defRPr sz="1600">
                          <a:solidFill>
                            <a:schemeClr val="accent1"/>
                          </a:solidFill>
                        </a:defRPr>
                      </a:pPr>
                      <a:t>[NOMBRE DE CATEGORÍA]</a:t>
                    </a:fld>
                    <a:r>
                      <a:rPr lang="en-US" baseline="0"/>
                      <a:t> </a:t>
                    </a:r>
                    <a:fld id="{F0D58EE9-D8BF-4CEA-974C-D45653C91E54}" type="VALUE">
                      <a:rPr lang="en-US" baseline="0"/>
                      <a:pPr>
                        <a:defRPr sz="1600">
                          <a:solidFill>
                            <a:schemeClr val="accent1"/>
                          </a:solidFill>
                        </a:defRPr>
                      </a:pPr>
                      <a:t>[VALOR]</a:t>
                    </a:fld>
                    <a:endParaRPr lang="en-US" baseline="0"/>
                  </a:p>
                  <a:p>
                    <a:pPr>
                      <a:defRPr sz="1600">
                        <a:solidFill>
                          <a:schemeClr val="accent1"/>
                        </a:solidFill>
                      </a:defRPr>
                    </a:pPr>
                    <a:r>
                      <a:rPr lang="en-US" baseline="0"/>
                      <a:t> </a:t>
                    </a:r>
                    <a:fld id="{0F4D62A7-5720-4C9F-8A08-151227771374}"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7"/>
              <c:layout>
                <c:manualLayout>
                  <c:x val="-6.0409931329288222E-3"/>
                  <c:y val="-0.1119554445811055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F1808F2-687A-4DB0-847B-EC607F5396DC}" type="CATEGORYNAME">
                      <a:rPr lang="en-US"/>
                      <a:pPr>
                        <a:defRPr sz="1600">
                          <a:solidFill>
                            <a:schemeClr val="accent1"/>
                          </a:solidFill>
                        </a:defRPr>
                      </a:pPr>
                      <a:t>[NOMBRE DE CATEGORÍA]</a:t>
                    </a:fld>
                    <a:endParaRPr lang="en-US"/>
                  </a:p>
                  <a:p>
                    <a:pPr>
                      <a:defRPr sz="1600">
                        <a:solidFill>
                          <a:schemeClr val="accent1"/>
                        </a:solidFill>
                      </a:defRPr>
                    </a:pPr>
                    <a:r>
                      <a:rPr lang="en-US" baseline="0"/>
                      <a:t> </a:t>
                    </a:r>
                    <a:fld id="{CC3BCC99-C86B-4744-9F26-7781864A0577}" type="VALUE">
                      <a:rPr lang="en-US" baseline="0"/>
                      <a:pPr>
                        <a:defRPr sz="1600">
                          <a:solidFill>
                            <a:schemeClr val="accent1"/>
                          </a:solidFill>
                        </a:defRPr>
                      </a:pPr>
                      <a:t>[VALOR]</a:t>
                    </a:fld>
                    <a:endParaRPr lang="en-US" baseline="0"/>
                  </a:p>
                  <a:p>
                    <a:pPr>
                      <a:defRPr sz="1600">
                        <a:solidFill>
                          <a:schemeClr val="accent1"/>
                        </a:solidFill>
                      </a:defRPr>
                    </a:pPr>
                    <a:r>
                      <a:rPr lang="en-US" baseline="0"/>
                      <a:t> </a:t>
                    </a:r>
                    <a:fld id="{EFC85C2E-DE8B-4511-823B-B6C60CA9FE3D}"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fondos'!$B$3:$I$3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fondos'!$B$4:$I$4</c:f>
              <c:numCache>
                <c:formatCode>_(* #,##0_);_(* \(#,##0\);_(* "-"??_);_(@_)</c:formatCode>
                <c:ptCount val="8"/>
                <c:pt idx="0">
                  <c:v>462494</c:v>
                </c:pt>
                <c:pt idx="1">
                  <c:v>211378</c:v>
                </c:pt>
                <c:pt idx="2">
                  <c:v>12355</c:v>
                </c:pt>
                <c:pt idx="3">
                  <c:v>446797</c:v>
                </c:pt>
                <c:pt idx="4">
                  <c:v>286315</c:v>
                </c:pt>
                <c:pt idx="5">
                  <c:v>86074</c:v>
                </c:pt>
                <c:pt idx="6">
                  <c:v>40862</c:v>
                </c:pt>
                <c:pt idx="7">
                  <c:v>7485</c:v>
                </c:pt>
              </c:numCache>
            </c:numRef>
          </c:val>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2223309037230593"/>
          <c:y val="9.6149993985192042E-2"/>
          <c:w val="0.55415235035857502"/>
          <c:h val="8.784359166628354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Salario Promedio Mensual de los Empleados Afiliados Activos al SDSS, por Sector</a:t>
            </a:r>
          </a:p>
        </c:rich>
      </c:tx>
      <c:layout>
        <c:manualLayout>
          <c:xMode val="edge"/>
          <c:yMode val="edge"/>
          <c:x val="0.23206486882023039"/>
          <c:y val="5.4176258753376838E-2"/>
        </c:manualLayout>
      </c:layout>
      <c:overlay val="0"/>
    </c:title>
    <c:autoTitleDeleted val="0"/>
    <c:plotArea>
      <c:layout>
        <c:manualLayout>
          <c:layoutTarget val="inner"/>
          <c:xMode val="edge"/>
          <c:yMode val="edge"/>
          <c:x val="8.4077564967991264E-2"/>
          <c:y val="0.23792756083497998"/>
          <c:w val="0.78232392379548932"/>
          <c:h val="0.5593867809148678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4.7722344635116017E-3"/>
                  <c:y val="-2.286879633616061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RD$ 16,520.22</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Jun.15</c:v>
                </c:pt>
              </c:strCache>
            </c:strRef>
          </c:cat>
          <c:val>
            <c:numRef>
              <c:f>'II.5 Salario prom.'!$B$4:$B$11</c:f>
              <c:numCache>
                <c:formatCode>_(* #,##0.00_);_(* \(#,##0.00\);_(* "-"??_);_(@_)</c:formatCode>
                <c:ptCount val="8"/>
                <c:pt idx="0">
                  <c:v>12759.99</c:v>
                </c:pt>
                <c:pt idx="1">
                  <c:v>13453</c:v>
                </c:pt>
                <c:pt idx="2">
                  <c:v>13943.45</c:v>
                </c:pt>
                <c:pt idx="3">
                  <c:v>15132</c:v>
                </c:pt>
                <c:pt idx="4">
                  <c:v>15533</c:v>
                </c:pt>
                <c:pt idx="5">
                  <c:v>16191</c:v>
                </c:pt>
                <c:pt idx="6">
                  <c:v>16415</c:v>
                </c:pt>
                <c:pt idx="7">
                  <c:v>16520.22</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7.9537241058526699E-4"/>
                  <c:y val="-1.3807529561159746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RD$ 21,523.51</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Jun.15</c:v>
                </c:pt>
              </c:strCache>
            </c:strRef>
          </c:cat>
          <c:val>
            <c:numRef>
              <c:f>'II.5 Salario prom.'!$C$4:$C$11</c:f>
              <c:numCache>
                <c:formatCode>_(* #,##0.00_);_(* \(#,##0.00\);_(* "-"??_);_(@_)</c:formatCode>
                <c:ptCount val="8"/>
                <c:pt idx="0">
                  <c:v>15836.19</c:v>
                </c:pt>
                <c:pt idx="1">
                  <c:v>14653.84</c:v>
                </c:pt>
                <c:pt idx="2">
                  <c:v>16719.03</c:v>
                </c:pt>
                <c:pt idx="3">
                  <c:v>17464</c:v>
                </c:pt>
                <c:pt idx="4">
                  <c:v>18675</c:v>
                </c:pt>
                <c:pt idx="5">
                  <c:v>19327</c:v>
                </c:pt>
                <c:pt idx="6">
                  <c:v>20545</c:v>
                </c:pt>
                <c:pt idx="7">
                  <c:v>21523.51</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3.8177875708092814E-2"/>
                  <c:y val="-4.8374552976700458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RD$ 24,006.72</a:t>
                    </a:r>
                    <a:endParaRPr lang="en-US"/>
                  </a:p>
                </c:rich>
              </c:tx>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Jun.15</c:v>
                </c:pt>
              </c:strCache>
            </c:strRef>
          </c:cat>
          <c:val>
            <c:numRef>
              <c:f>'II.5 Salario prom.'!$D$4:$D$11</c:f>
              <c:numCache>
                <c:formatCode>_(* #,##0.00_);_(* \(#,##0.00\);_(* "-"??_);_(@_)</c:formatCode>
                <c:ptCount val="8"/>
                <c:pt idx="0">
                  <c:v>14748.51</c:v>
                </c:pt>
                <c:pt idx="1">
                  <c:v>15155.74</c:v>
                </c:pt>
                <c:pt idx="2">
                  <c:v>15971.57</c:v>
                </c:pt>
                <c:pt idx="3">
                  <c:v>17399</c:v>
                </c:pt>
                <c:pt idx="4">
                  <c:v>17851</c:v>
                </c:pt>
                <c:pt idx="5">
                  <c:v>20747</c:v>
                </c:pt>
                <c:pt idx="6">
                  <c:v>22507</c:v>
                </c:pt>
                <c:pt idx="7">
                  <c:v>24006.720000000001</c:v>
                </c:pt>
              </c:numCache>
            </c:numRef>
          </c:val>
          <c:smooth val="0"/>
        </c:ser>
        <c:dLbls>
          <c:showLegendKey val="0"/>
          <c:showVal val="0"/>
          <c:showCatName val="0"/>
          <c:showSerName val="0"/>
          <c:showPercent val="0"/>
          <c:showBubbleSize val="0"/>
        </c:dLbls>
        <c:marker val="1"/>
        <c:smooth val="0"/>
        <c:axId val="269822048"/>
        <c:axId val="269821656"/>
      </c:lineChart>
      <c:catAx>
        <c:axId val="269822048"/>
        <c:scaling>
          <c:orientation val="minMax"/>
        </c:scaling>
        <c:delete val="0"/>
        <c:axPos val="b"/>
        <c:numFmt formatCode="General" sourceLinked="0"/>
        <c:majorTickMark val="none"/>
        <c:minorTickMark val="none"/>
        <c:tickLblPos val="nextTo"/>
        <c:txPr>
          <a:bodyPr/>
          <a:lstStyle/>
          <a:p>
            <a:pPr>
              <a:defRPr sz="1800" b="1"/>
            </a:pPr>
            <a:endParaRPr lang="es-ES"/>
          </a:p>
        </c:txPr>
        <c:crossAx val="269821656"/>
        <c:crosses val="autoZero"/>
        <c:auto val="1"/>
        <c:lblAlgn val="ctr"/>
        <c:lblOffset val="100"/>
        <c:noMultiLvlLbl val="0"/>
      </c:catAx>
      <c:valAx>
        <c:axId val="269821656"/>
        <c:scaling>
          <c:orientation val="minMax"/>
          <c:max val="25000"/>
          <c:min val="10000"/>
        </c:scaling>
        <c:delete val="0"/>
        <c:axPos val="l"/>
        <c:numFmt formatCode="_(* #,##0.00_);_(* \(#,##0.00\);_(* &quot;-&quot;??_);_(@_)" sourceLinked="1"/>
        <c:majorTickMark val="none"/>
        <c:minorTickMark val="none"/>
        <c:tickLblPos val="nextTo"/>
        <c:txPr>
          <a:bodyPr/>
          <a:lstStyle/>
          <a:p>
            <a:pPr>
              <a:defRPr sz="1050"/>
            </a:pPr>
            <a:endParaRPr lang="es-ES"/>
          </a:p>
        </c:txPr>
        <c:crossAx val="269822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8310774586012571"/>
          <c:y val="1.7386807540777149E-2"/>
        </c:manualLayout>
      </c:layout>
      <c:overlay val="0"/>
    </c:title>
    <c:autoTitleDeleted val="0"/>
    <c:plotArea>
      <c:layout>
        <c:manualLayout>
          <c:layoutTarget val="inner"/>
          <c:xMode val="edge"/>
          <c:yMode val="edge"/>
          <c:x val="6.5116487304758552E-2"/>
          <c:y val="0.22594513265459651"/>
          <c:w val="0.87140652194595092"/>
          <c:h val="0.571154911368563"/>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7266241466021622E-3"/>
                  <c:y val="-1.079689506896744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Jun. 15</c:v>
                </c:pt>
              </c:strCache>
            </c:strRef>
          </c:cat>
          <c:val>
            <c:numRef>
              <c:f>III.5.9.PEA_Pensiones_Género!$E$4:$E$16</c:f>
              <c:numCache>
                <c:formatCode>0.0%</c:formatCode>
                <c:ptCount val="11"/>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0.6246174236167904</c:v>
                </c:pt>
              </c:numCache>
            </c:numRef>
          </c:val>
          <c:smooth val="0"/>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3898305084745763E-2"/>
                  <c:y val="3.985055518831217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652967558928615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954802259887006E-2"/>
                  <c:y val="3.985055518831217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3.6529675589286159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8248587570621469E-2"/>
                  <c:y val="4.6492314386364204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9221157308449711E-2"/>
                  <c:y val="4.276191545104748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0222118084622055E-3"/>
                  <c:y val="-4.0000000000001042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Jun. 15</c:v>
                </c:pt>
              </c:strCache>
            </c:strRef>
          </c:cat>
          <c:val>
            <c:numRef>
              <c:f>III.5.9.PEA_Pensiones_Género!$F$4:$F$16</c:f>
              <c:numCache>
                <c:formatCode>0.0%</c:formatCode>
                <c:ptCount val="11"/>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0.37538257638320965</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7.2252111512262985E-3"/>
                  <c:y val="4.5106382978723405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Jun. 15</c:v>
                </c:pt>
              </c:strCache>
            </c:strRef>
          </c:cat>
          <c:val>
            <c:numRef>
              <c:f>III.5.9.PEA_Pensiones_Género!$J$4:$J$16</c:f>
              <c:numCache>
                <c:formatCode>0.0%</c:formatCode>
                <c:ptCount val="11"/>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0.55325983420862934</c:v>
                </c:pt>
              </c:numCache>
            </c:numRef>
          </c:val>
          <c:smooth val="0"/>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5132050237687393E-3"/>
                  <c:y val="-8.9600714804266481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Jun. 15</c:v>
                </c:pt>
              </c:strCache>
            </c:strRef>
          </c:cat>
          <c:val>
            <c:numRef>
              <c:f>III.5.9.PEA_Pensiones_Género!$K$4:$K$16</c:f>
              <c:numCache>
                <c:formatCode>0.0%</c:formatCode>
                <c:ptCount val="11"/>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0.4467401657913706</c:v>
                </c:pt>
              </c:numCache>
            </c:numRef>
          </c:val>
          <c:smooth val="0"/>
        </c:ser>
        <c:dLbls>
          <c:showLegendKey val="0"/>
          <c:showVal val="0"/>
          <c:showCatName val="0"/>
          <c:showSerName val="0"/>
          <c:showPercent val="0"/>
          <c:showBubbleSize val="0"/>
        </c:dLbls>
        <c:marker val="1"/>
        <c:smooth val="0"/>
        <c:axId val="884019608"/>
        <c:axId val="884020000"/>
      </c:lineChart>
      <c:catAx>
        <c:axId val="884019608"/>
        <c:scaling>
          <c:orientation val="minMax"/>
        </c:scaling>
        <c:delete val="0"/>
        <c:axPos val="b"/>
        <c:numFmt formatCode="General" sourceLinked="1"/>
        <c:majorTickMark val="none"/>
        <c:minorTickMark val="none"/>
        <c:tickLblPos val="nextTo"/>
        <c:txPr>
          <a:bodyPr/>
          <a:lstStyle/>
          <a:p>
            <a:pPr>
              <a:defRPr sz="900"/>
            </a:pPr>
            <a:endParaRPr lang="es-ES"/>
          </a:p>
        </c:txPr>
        <c:crossAx val="884020000"/>
        <c:crosses val="autoZero"/>
        <c:auto val="1"/>
        <c:lblAlgn val="ctr"/>
        <c:lblOffset val="100"/>
        <c:noMultiLvlLbl val="0"/>
      </c:catAx>
      <c:valAx>
        <c:axId val="884020000"/>
        <c:scaling>
          <c:orientation val="minMax"/>
        </c:scaling>
        <c:delete val="1"/>
        <c:axPos val="l"/>
        <c:numFmt formatCode="0.0%" sourceLinked="1"/>
        <c:majorTickMark val="none"/>
        <c:minorTickMark val="none"/>
        <c:tickLblPos val="nextTo"/>
        <c:crossAx val="884019608"/>
        <c:crosses val="autoZero"/>
        <c:crossBetween val="between"/>
      </c:valAx>
    </c:plotArea>
    <c:legend>
      <c:legendPos val="b"/>
      <c:layout>
        <c:manualLayout>
          <c:xMode val="edge"/>
          <c:yMode val="edge"/>
          <c:x val="4.7448359999776146E-2"/>
          <c:y val="0.10443474820424517"/>
          <c:w val="0.9"/>
          <c:h val="4.3066018021632638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0.10295628257488972"/>
          <c:y val="0.15264778145162453"/>
          <c:w val="0.67712894835801185"/>
          <c:h val="0.7099451338619247"/>
        </c:manualLayout>
      </c:layout>
      <c:barChart>
        <c:barDir val="bar"/>
        <c:grouping val="clustered"/>
        <c:varyColors val="0"/>
        <c:ser>
          <c:idx val="0"/>
          <c:order val="0"/>
          <c:tx>
            <c:strRef>
              <c:f>'III.5.10.Cot.Afil X Sexo'!$B$24</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Sexo'!$A$25:$A$37</c:f>
              <c:strCache>
                <c:ptCount val="13"/>
                <c:pt idx="0">
                  <c:v>37986.00 </c:v>
                </c:pt>
                <c:pt idx="1">
                  <c:v>38352.00 </c:v>
                </c:pt>
                <c:pt idx="2">
                  <c:v>38717.00 </c:v>
                </c:pt>
                <c:pt idx="3">
                  <c:v>39082.00 </c:v>
                </c:pt>
                <c:pt idx="4">
                  <c:v>39417.00 </c:v>
                </c:pt>
                <c:pt idx="5">
                  <c:v>39783.00 </c:v>
                </c:pt>
                <c:pt idx="6">
                  <c:v>40148.00 </c:v>
                </c:pt>
                <c:pt idx="7">
                  <c:v>40513.00 </c:v>
                </c:pt>
                <c:pt idx="8">
                  <c:v>40878.00 </c:v>
                </c:pt>
                <c:pt idx="9">
                  <c:v>41244.00 </c:v>
                </c:pt>
                <c:pt idx="10">
                  <c:v>41609.00 </c:v>
                </c:pt>
                <c:pt idx="11">
                  <c:v>41974.00 </c:v>
                </c:pt>
                <c:pt idx="12">
                  <c:v>Jun.15</c:v>
                </c:pt>
              </c:strCache>
            </c:strRef>
          </c:cat>
          <c:val>
            <c:numRef>
              <c:f>'III.5.10.Cot.Afil X Sexo'!$B$25:$B$37</c:f>
              <c:numCache>
                <c:formatCode>#,##0</c:formatCode>
                <c:ptCount val="13"/>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1810242</c:v>
                </c:pt>
              </c:numCache>
            </c:numRef>
          </c:val>
        </c:ser>
        <c:ser>
          <c:idx val="1"/>
          <c:order val="1"/>
          <c:tx>
            <c:strRef>
              <c:f>'III.5.10.Cot.Afil X Sexo'!$C$24</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Sexo'!$A$25:$A$37</c:f>
              <c:strCache>
                <c:ptCount val="13"/>
                <c:pt idx="0">
                  <c:v>37986.00 </c:v>
                </c:pt>
                <c:pt idx="1">
                  <c:v>38352.00 </c:v>
                </c:pt>
                <c:pt idx="2">
                  <c:v>38717.00 </c:v>
                </c:pt>
                <c:pt idx="3">
                  <c:v>39082.00 </c:v>
                </c:pt>
                <c:pt idx="4">
                  <c:v>39417.00 </c:v>
                </c:pt>
                <c:pt idx="5">
                  <c:v>39783.00 </c:v>
                </c:pt>
                <c:pt idx="6">
                  <c:v>40148.00 </c:v>
                </c:pt>
                <c:pt idx="7">
                  <c:v>40513.00 </c:v>
                </c:pt>
                <c:pt idx="8">
                  <c:v>40878.00 </c:v>
                </c:pt>
                <c:pt idx="9">
                  <c:v>41244.00 </c:v>
                </c:pt>
                <c:pt idx="10">
                  <c:v>41609.00 </c:v>
                </c:pt>
                <c:pt idx="11">
                  <c:v>41974.00 </c:v>
                </c:pt>
                <c:pt idx="12">
                  <c:v>Jun.15</c:v>
                </c:pt>
              </c:strCache>
            </c:strRef>
          </c:cat>
          <c:val>
            <c:numRef>
              <c:f>'III.5.10.Cot.Afil X Sexo'!$C$25:$C$37</c:f>
              <c:numCache>
                <c:formatCode>#,##0</c:formatCode>
                <c:ptCount val="13"/>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859633</c:v>
                </c:pt>
              </c:numCache>
            </c:numRef>
          </c:val>
        </c:ser>
        <c:ser>
          <c:idx val="2"/>
          <c:order val="2"/>
          <c:tx>
            <c:strRef>
              <c:f>'III.5.10.Cot.Afil X Sexo'!$D$24</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2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Sexo'!$A$25:$A$37</c:f>
              <c:strCache>
                <c:ptCount val="13"/>
                <c:pt idx="0">
                  <c:v>37986.00 </c:v>
                </c:pt>
                <c:pt idx="1">
                  <c:v>38352.00 </c:v>
                </c:pt>
                <c:pt idx="2">
                  <c:v>38717.00 </c:v>
                </c:pt>
                <c:pt idx="3">
                  <c:v>39082.00 </c:v>
                </c:pt>
                <c:pt idx="4">
                  <c:v>39417.00 </c:v>
                </c:pt>
                <c:pt idx="5">
                  <c:v>39783.00 </c:v>
                </c:pt>
                <c:pt idx="6">
                  <c:v>40148.00 </c:v>
                </c:pt>
                <c:pt idx="7">
                  <c:v>40513.00 </c:v>
                </c:pt>
                <c:pt idx="8">
                  <c:v>40878.00 </c:v>
                </c:pt>
                <c:pt idx="9">
                  <c:v>41244.00 </c:v>
                </c:pt>
                <c:pt idx="10">
                  <c:v>41609.00 </c:v>
                </c:pt>
                <c:pt idx="11">
                  <c:v>41974.00 </c:v>
                </c:pt>
                <c:pt idx="12">
                  <c:v>Jun.15</c:v>
                </c:pt>
              </c:strCache>
            </c:strRef>
          </c:cat>
          <c:val>
            <c:numRef>
              <c:f>'III.5.10.Cot.Afil X Sexo'!$D$25:$D$37</c:f>
              <c:numCache>
                <c:formatCode>#,##0</c:formatCode>
                <c:ptCount val="13"/>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-1354380</c:v>
                </c:pt>
              </c:numCache>
            </c:numRef>
          </c:val>
        </c:ser>
        <c:ser>
          <c:idx val="3"/>
          <c:order val="3"/>
          <c:tx>
            <c:strRef>
              <c:f>'III.5.10.Cot.Afil X Sexo'!$E$24</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Sexo'!$A$25:$A$37</c:f>
              <c:strCache>
                <c:ptCount val="13"/>
                <c:pt idx="0">
                  <c:v>37986.00 </c:v>
                </c:pt>
                <c:pt idx="1">
                  <c:v>38352.00 </c:v>
                </c:pt>
                <c:pt idx="2">
                  <c:v>38717.00 </c:v>
                </c:pt>
                <c:pt idx="3">
                  <c:v>39082.00 </c:v>
                </c:pt>
                <c:pt idx="4">
                  <c:v>39417.00 </c:v>
                </c:pt>
                <c:pt idx="5">
                  <c:v>39783.00 </c:v>
                </c:pt>
                <c:pt idx="6">
                  <c:v>40148.00 </c:v>
                </c:pt>
                <c:pt idx="7">
                  <c:v>40513.00 </c:v>
                </c:pt>
                <c:pt idx="8">
                  <c:v>40878.00 </c:v>
                </c:pt>
                <c:pt idx="9">
                  <c:v>41244.00 </c:v>
                </c:pt>
                <c:pt idx="10">
                  <c:v>41609.00 </c:v>
                </c:pt>
                <c:pt idx="11">
                  <c:v>41974.00 </c:v>
                </c:pt>
                <c:pt idx="12">
                  <c:v>Jun.15</c:v>
                </c:pt>
              </c:strCache>
            </c:strRef>
          </c:cat>
          <c:val>
            <c:numRef>
              <c:f>'III.5.10.Cot.Afil X Sexo'!$E$25:$E$37</c:f>
              <c:numCache>
                <c:formatCode>#,##0</c:formatCode>
                <c:ptCount val="13"/>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-694127</c:v>
                </c:pt>
              </c:numCache>
            </c:numRef>
          </c:val>
        </c:ser>
        <c:dLbls>
          <c:showLegendKey val="0"/>
          <c:showVal val="0"/>
          <c:showCatName val="0"/>
          <c:showSerName val="0"/>
          <c:showPercent val="0"/>
          <c:showBubbleSize val="0"/>
        </c:dLbls>
        <c:gapWidth val="6"/>
        <c:overlap val="97"/>
        <c:axId val="884025488"/>
        <c:axId val="884026272"/>
      </c:barChart>
      <c:catAx>
        <c:axId val="884025488"/>
        <c:scaling>
          <c:orientation val="minMax"/>
        </c:scaling>
        <c:delete val="0"/>
        <c:axPos val="l"/>
        <c:numFmt formatCode="General" sourceLinked="0"/>
        <c:majorTickMark val="out"/>
        <c:minorTickMark val="none"/>
        <c:tickLblPos val="high"/>
        <c:crossAx val="884026272"/>
        <c:crossesAt val="0"/>
        <c:auto val="1"/>
        <c:lblAlgn val="ctr"/>
        <c:lblOffset val="100"/>
        <c:noMultiLvlLbl val="0"/>
      </c:catAx>
      <c:valAx>
        <c:axId val="884026272"/>
        <c:scaling>
          <c:orientation val="minMax"/>
        </c:scaling>
        <c:delete val="0"/>
        <c:axPos val="b"/>
        <c:numFmt formatCode="#,##0;[Red]#,##0" sourceLinked="0"/>
        <c:majorTickMark val="out"/>
        <c:minorTickMark val="none"/>
        <c:tickLblPos val="nextTo"/>
        <c:crossAx val="884025488"/>
        <c:crosses val="autoZero"/>
        <c:crossBetween val="between"/>
      </c:valAx>
    </c:plotArea>
    <c:legend>
      <c:legendPos val="r"/>
      <c:layout>
        <c:manualLayout>
          <c:xMode val="edge"/>
          <c:yMode val="edge"/>
          <c:x val="9.2209024719367705E-2"/>
          <c:y val="6.1985434414554834E-2"/>
          <c:w val="0.79605435143632741"/>
          <c:h val="3.67234181219581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20"/>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5998796596265285E-4"/>
          <c:y val="0.15429379733445994"/>
          <c:w val="0.98872172645086032"/>
          <c:h val="0.63150181081666257"/>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9.9634557251947042E-3"/>
                  <c:y val="-5.29355305417838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634557251947042E-3"/>
                  <c:y val="-6.617716070407163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698368939926255E-2"/>
                  <c:y val="-3.9847080053055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898230763128691E-2"/>
                  <c:y val="-4.737428198872668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9912345500504842E-3"/>
                  <c:y val="-5.864981119646016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598778433203612E-2"/>
                  <c:y val="-2.895027624309392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253409035159039E-2"/>
                  <c:y val="-2.691941822189353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618640945968441E-2"/>
                  <c:y val="-2.876089383854642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3545606417621234E-2"/>
                  <c:y val="-3.4664520526094457E-2"/>
                </c:manualLayout>
              </c:layout>
              <c:spPr/>
              <c:txPr>
                <a:bodyPr/>
                <a:lstStyle/>
                <a:p>
                  <a:pPr>
                    <a:defRPr sz="28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1.7042555190547266E-2"/>
                  <c:y val="-2.3907096970702247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8.038277673476299E-3"/>
                  <c:y val="-1.87416363603092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anual'!$A$5:$A$15</c:f>
              <c:strCache>
                <c:ptCount val="11"/>
                <c:pt idx="0">
                  <c:v>2005</c:v>
                </c:pt>
                <c:pt idx="1">
                  <c:v>2006</c:v>
                </c:pt>
                <c:pt idx="2">
                  <c:v>2007</c:v>
                </c:pt>
                <c:pt idx="3">
                  <c:v>2008</c:v>
                </c:pt>
                <c:pt idx="4">
                  <c:v>2009</c:v>
                </c:pt>
                <c:pt idx="5">
                  <c:v>2010</c:v>
                </c:pt>
                <c:pt idx="6">
                  <c:v>2011</c:v>
                </c:pt>
                <c:pt idx="7">
                  <c:v>2012</c:v>
                </c:pt>
                <c:pt idx="8">
                  <c:v>2013</c:v>
                </c:pt>
                <c:pt idx="9">
                  <c:v>2014</c:v>
                </c:pt>
                <c:pt idx="10">
                  <c:v>Jun. 15</c:v>
                </c:pt>
              </c:strCache>
            </c:strRef>
          </c:cat>
          <c:val>
            <c:numRef>
              <c:f>'III.5.11.Traspasos anual'!$B$5:$B$15</c:f>
              <c:numCache>
                <c:formatCode>_(* #,##0_);_(* \(#,##0\);_(* "-"??_);_(@_)</c:formatCode>
                <c:ptCount val="11"/>
                <c:pt idx="0">
                  <c:v>733</c:v>
                </c:pt>
                <c:pt idx="1">
                  <c:v>1859</c:v>
                </c:pt>
                <c:pt idx="2">
                  <c:v>1247</c:v>
                </c:pt>
                <c:pt idx="3">
                  <c:v>1028</c:v>
                </c:pt>
                <c:pt idx="4">
                  <c:v>25287</c:v>
                </c:pt>
                <c:pt idx="5">
                  <c:v>10644</c:v>
                </c:pt>
                <c:pt idx="6">
                  <c:v>6268</c:v>
                </c:pt>
                <c:pt idx="7">
                  <c:v>10046</c:v>
                </c:pt>
                <c:pt idx="8">
                  <c:v>15740</c:v>
                </c:pt>
                <c:pt idx="9">
                  <c:v>32365</c:v>
                </c:pt>
                <c:pt idx="10">
                  <c:v>15512</c:v>
                </c:pt>
              </c:numCache>
            </c:numRef>
          </c:val>
        </c:ser>
        <c:dLbls>
          <c:showLegendKey val="0"/>
          <c:showVal val="0"/>
          <c:showCatName val="0"/>
          <c:showSerName val="0"/>
          <c:showPercent val="0"/>
          <c:showBubbleSize val="0"/>
        </c:dLbls>
        <c:gapWidth val="43"/>
        <c:gapDepth val="165"/>
        <c:shape val="cone"/>
        <c:axId val="884027056"/>
        <c:axId val="884029016"/>
        <c:axId val="0"/>
      </c:bar3DChart>
      <c:catAx>
        <c:axId val="884027056"/>
        <c:scaling>
          <c:orientation val="minMax"/>
        </c:scaling>
        <c:delete val="0"/>
        <c:axPos val="b"/>
        <c:numFmt formatCode="General" sourceLinked="1"/>
        <c:majorTickMark val="none"/>
        <c:minorTickMark val="none"/>
        <c:tickLblPos val="nextTo"/>
        <c:txPr>
          <a:bodyPr/>
          <a:lstStyle/>
          <a:p>
            <a:pPr>
              <a:defRPr sz="2000"/>
            </a:pPr>
            <a:endParaRPr lang="es-ES"/>
          </a:p>
        </c:txPr>
        <c:crossAx val="884029016"/>
        <c:crosses val="autoZero"/>
        <c:auto val="1"/>
        <c:lblAlgn val="ctr"/>
        <c:lblOffset val="100"/>
        <c:noMultiLvlLbl val="0"/>
      </c:catAx>
      <c:valAx>
        <c:axId val="884029016"/>
        <c:scaling>
          <c:orientation val="minMax"/>
        </c:scaling>
        <c:delete val="1"/>
        <c:axPos val="l"/>
        <c:numFmt formatCode="_(* #,##0_);_(* \(#,##0\);_(* &quot;-&quot;??_);_(@_)" sourceLinked="1"/>
        <c:majorTickMark val="out"/>
        <c:minorTickMark val="none"/>
        <c:tickLblPos val="nextTo"/>
        <c:crossAx val="88402705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3937417294399557"/>
          <c:y val="3.465208193740260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recibidos'!$L$4</c:f>
              <c:strCache>
                <c:ptCount val="1"/>
                <c:pt idx="0">
                  <c:v>FPBC</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Jun.15</c:v>
                </c:pt>
              </c:strCache>
            </c:strRef>
          </c:cat>
          <c:val>
            <c:numRef>
              <c:f>'III.5.12.Trasp. recibidos'!$L$5:$L$15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'III.5.12.Trasp. recibidos'!$M$4</c:f>
              <c:strCache>
                <c:ptCount val="1"/>
                <c:pt idx="0">
                  <c:v>Bco. Reservas</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Jun.15</c:v>
                </c:pt>
              </c:strCache>
            </c:strRef>
          </c:cat>
          <c:val>
            <c:numRef>
              <c:f>'III.5.12.Trasp. recibidos'!$M$5:$M$15</c:f>
              <c:numCache>
                <c:formatCode>#,##0</c:formatCode>
                <c:ptCount val="11"/>
                <c:pt idx="0">
                  <c:v>0</c:v>
                </c:pt>
                <c:pt idx="1">
                  <c:v>0</c:v>
                </c:pt>
                <c:pt idx="2">
                  <c:v>0</c:v>
                </c:pt>
                <c:pt idx="3">
                  <c:v>0</c:v>
                </c:pt>
                <c:pt idx="4">
                  <c:v>0</c:v>
                </c:pt>
                <c:pt idx="5">
                  <c:v>1</c:v>
                </c:pt>
                <c:pt idx="6">
                  <c:v>0</c:v>
                </c:pt>
                <c:pt idx="7">
                  <c:v>513</c:v>
                </c:pt>
                <c:pt idx="8">
                  <c:v>0</c:v>
                </c:pt>
                <c:pt idx="9">
                  <c:v>0</c:v>
                </c:pt>
                <c:pt idx="10">
                  <c:v>11</c:v>
                </c:pt>
              </c:numCache>
            </c:numRef>
          </c:val>
        </c:ser>
        <c:ser>
          <c:idx val="2"/>
          <c:order val="2"/>
          <c:tx>
            <c:strRef>
              <c:f>'III.5.12.Trasp. recibidos'!$N$4</c:f>
              <c:strCache>
                <c:ptCount val="1"/>
                <c:pt idx="0">
                  <c:v>INABIMA</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Jun.15</c:v>
                </c:pt>
              </c:strCache>
            </c:strRef>
          </c:cat>
          <c:val>
            <c:numRef>
              <c:f>'III.5.12.Trasp. recibidos'!$N$5:$N$15</c:f>
              <c:numCache>
                <c:formatCode>#,##0</c:formatCode>
                <c:ptCount val="11"/>
                <c:pt idx="0">
                  <c:v>0</c:v>
                </c:pt>
                <c:pt idx="1">
                  <c:v>0</c:v>
                </c:pt>
                <c:pt idx="2">
                  <c:v>0</c:v>
                </c:pt>
                <c:pt idx="3">
                  <c:v>0</c:v>
                </c:pt>
                <c:pt idx="4">
                  <c:v>21139</c:v>
                </c:pt>
                <c:pt idx="5">
                  <c:v>3310</c:v>
                </c:pt>
                <c:pt idx="6">
                  <c:v>1778</c:v>
                </c:pt>
                <c:pt idx="7">
                  <c:v>2945</c:v>
                </c:pt>
                <c:pt idx="8">
                  <c:v>2249</c:v>
                </c:pt>
                <c:pt idx="9">
                  <c:v>7035</c:v>
                </c:pt>
                <c:pt idx="10">
                  <c:v>1276</c:v>
                </c:pt>
              </c:numCache>
            </c:numRef>
          </c:val>
        </c:ser>
        <c:ser>
          <c:idx val="3"/>
          <c:order val="3"/>
          <c:tx>
            <c:strRef>
              <c:f>'III.5.12.Trasp. recibidos'!$O$4</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Jun.15</c:v>
                </c:pt>
              </c:strCache>
            </c:strRef>
          </c:cat>
          <c:val>
            <c:numRef>
              <c:f>'III.5.12.Trasp. recibidos'!$O$5:$O$15</c:f>
              <c:numCache>
                <c:formatCode>#,##0</c:formatCode>
                <c:ptCount val="11"/>
                <c:pt idx="0">
                  <c:v>0</c:v>
                </c:pt>
                <c:pt idx="1">
                  <c:v>20</c:v>
                </c:pt>
                <c:pt idx="2">
                  <c:v>0</c:v>
                </c:pt>
                <c:pt idx="3">
                  <c:v>0</c:v>
                </c:pt>
                <c:pt idx="4">
                  <c:v>2582</c:v>
                </c:pt>
                <c:pt idx="5">
                  <c:v>4114</c:v>
                </c:pt>
                <c:pt idx="6">
                  <c:v>199</c:v>
                </c:pt>
                <c:pt idx="7">
                  <c:v>17</c:v>
                </c:pt>
                <c:pt idx="8">
                  <c:v>1532</c:v>
                </c:pt>
                <c:pt idx="9">
                  <c:v>462</c:v>
                </c:pt>
                <c:pt idx="10">
                  <c:v>148</c:v>
                </c:pt>
              </c:numCache>
            </c:numRef>
          </c:val>
        </c:ser>
        <c:dLbls>
          <c:showLegendKey val="0"/>
          <c:showVal val="0"/>
          <c:showCatName val="0"/>
          <c:showSerName val="0"/>
          <c:showPercent val="0"/>
          <c:showBubbleSize val="0"/>
        </c:dLbls>
        <c:gapWidth val="17"/>
        <c:shape val="cylinder"/>
        <c:axId val="884023920"/>
        <c:axId val="884025096"/>
        <c:axId val="0"/>
      </c:bar3DChart>
      <c:catAx>
        <c:axId val="884023920"/>
        <c:scaling>
          <c:orientation val="minMax"/>
        </c:scaling>
        <c:delete val="0"/>
        <c:axPos val="b"/>
        <c:numFmt formatCode="General" sourceLinked="1"/>
        <c:majorTickMark val="none"/>
        <c:minorTickMark val="none"/>
        <c:tickLblPos val="nextTo"/>
        <c:txPr>
          <a:bodyPr/>
          <a:lstStyle/>
          <a:p>
            <a:pPr>
              <a:defRPr sz="1200"/>
            </a:pPr>
            <a:endParaRPr lang="es-ES"/>
          </a:p>
        </c:txPr>
        <c:crossAx val="884025096"/>
        <c:crosses val="autoZero"/>
        <c:auto val="1"/>
        <c:lblAlgn val="ctr"/>
        <c:lblOffset val="100"/>
        <c:noMultiLvlLbl val="0"/>
      </c:catAx>
      <c:valAx>
        <c:axId val="884025096"/>
        <c:scaling>
          <c:orientation val="minMax"/>
        </c:scaling>
        <c:delete val="1"/>
        <c:axPos val="l"/>
        <c:numFmt formatCode="#,##0" sourceLinked="1"/>
        <c:majorTickMark val="out"/>
        <c:minorTickMark val="none"/>
        <c:tickLblPos val="nextTo"/>
        <c:crossAx val="884023920"/>
        <c:crosses val="autoZero"/>
        <c:crossBetween val="between"/>
      </c:valAx>
      <c:spPr>
        <a:noFill/>
        <a:ln w="25400">
          <a:noFill/>
        </a:ln>
      </c:spPr>
    </c:plotArea>
    <c:legend>
      <c:legendPos val="b"/>
      <c:layout>
        <c:manualLayout>
          <c:xMode val="edge"/>
          <c:yMode val="edge"/>
          <c:x val="0.12028221639893172"/>
          <c:y val="9.4544241460428932E-2"/>
          <c:w val="0.84826283199441688"/>
          <c:h val="3.9755426611277539E-2"/>
        </c:manualLayout>
      </c:layout>
      <c:overlay val="0"/>
      <c:txPr>
        <a:bodyPr/>
        <a:lstStyle/>
        <a:p>
          <a:pPr>
            <a:defRPr sz="11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78137883617E-2"/>
          <c:y val="0.18252342911284561"/>
          <c:w val="0.95940431431777218"/>
          <c:h val="0.64896254780379525"/>
        </c:manualLayout>
      </c:layout>
      <c:bar3DChart>
        <c:barDir val="col"/>
        <c:grouping val="stacked"/>
        <c:varyColors val="0"/>
        <c:ser>
          <c:idx val="0"/>
          <c:order val="0"/>
          <c:tx>
            <c:strRef>
              <c:f>'III.5.12.Trasp. recibidos'!$B$4</c:f>
              <c:strCache>
                <c:ptCount val="1"/>
                <c:pt idx="0">
                  <c:v>Camino </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Jun.15</c:v>
                </c:pt>
              </c:strCache>
            </c:strRef>
          </c:cat>
          <c:val>
            <c:numRef>
              <c:f>'III.5.12.Trasp. recibidos'!$B$5:$B$15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'III.5.12.Trasp. recibidos'!$C$4</c:f>
              <c:strCache>
                <c:ptCount val="1"/>
                <c:pt idx="0">
                  <c:v>Caribalico</c:v>
                </c:pt>
              </c:strCache>
            </c:strRef>
          </c:tx>
          <c:spPr>
            <a:solidFill>
              <a:srgbClr val="FF000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Jun.15</c:v>
                </c:pt>
              </c:strCache>
            </c:strRef>
          </c:cat>
          <c:val>
            <c:numRef>
              <c:f>'III.5.12.Trasp. recibidos'!$C$5:$C$15</c:f>
              <c:numCache>
                <c:formatCode>#,##0</c:formatCode>
                <c:ptCount val="11"/>
                <c:pt idx="0">
                  <c:v>4</c:v>
                </c:pt>
                <c:pt idx="1">
                  <c:v>19</c:v>
                </c:pt>
                <c:pt idx="2">
                  <c:v>0</c:v>
                </c:pt>
                <c:pt idx="3">
                  <c:v>0</c:v>
                </c:pt>
                <c:pt idx="4">
                  <c:v>0</c:v>
                </c:pt>
                <c:pt idx="5">
                  <c:v>0</c:v>
                </c:pt>
                <c:pt idx="6">
                  <c:v>0</c:v>
                </c:pt>
                <c:pt idx="7">
                  <c:v>0</c:v>
                </c:pt>
                <c:pt idx="8">
                  <c:v>0</c:v>
                </c:pt>
                <c:pt idx="9">
                  <c:v>0</c:v>
                </c:pt>
                <c:pt idx="10">
                  <c:v>0</c:v>
                </c:pt>
              </c:numCache>
            </c:numRef>
          </c:val>
        </c:ser>
        <c:ser>
          <c:idx val="2"/>
          <c:order val="2"/>
          <c:tx>
            <c:strRef>
              <c:f>'III.5.12.Trasp. recibidos'!$D$4</c:f>
              <c:strCache>
                <c:ptCount val="1"/>
                <c:pt idx="0">
                  <c:v>León</c:v>
                </c:pt>
              </c:strCache>
            </c:strRef>
          </c:tx>
          <c:spPr>
            <a:solidFill>
              <a:srgbClr val="00206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Jun.15</c:v>
                </c:pt>
              </c:strCache>
            </c:strRef>
          </c:cat>
          <c:val>
            <c:numRef>
              <c:f>'III.5.12.Trasp. recibidos'!$D$5:$D$15</c:f>
              <c:numCache>
                <c:formatCode>#,##0</c:formatCode>
                <c:ptCount val="11"/>
                <c:pt idx="0">
                  <c:v>279</c:v>
                </c:pt>
                <c:pt idx="1">
                  <c:v>349</c:v>
                </c:pt>
                <c:pt idx="2">
                  <c:v>57</c:v>
                </c:pt>
                <c:pt idx="3">
                  <c:v>0</c:v>
                </c:pt>
                <c:pt idx="4">
                  <c:v>0</c:v>
                </c:pt>
                <c:pt idx="5">
                  <c:v>0</c:v>
                </c:pt>
                <c:pt idx="6">
                  <c:v>0</c:v>
                </c:pt>
                <c:pt idx="7">
                  <c:v>0</c:v>
                </c:pt>
                <c:pt idx="8">
                  <c:v>0</c:v>
                </c:pt>
                <c:pt idx="9">
                  <c:v>0</c:v>
                </c:pt>
                <c:pt idx="10">
                  <c:v>0</c:v>
                </c:pt>
              </c:numCache>
            </c:numRef>
          </c:val>
        </c:ser>
        <c:ser>
          <c:idx val="3"/>
          <c:order val="3"/>
          <c:tx>
            <c:strRef>
              <c:f>'III.5.12.Trasp. recibidos'!$E$4</c:f>
              <c:strCache>
                <c:ptCount val="1"/>
                <c:pt idx="0">
                  <c:v> Popular</c:v>
                </c:pt>
              </c:strCache>
            </c:strRef>
          </c:tx>
          <c:spPr>
            <a:solidFill>
              <a:schemeClr val="accent3">
                <a:lumMod val="75000"/>
              </a:schemeClr>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Jun.15</c:v>
                </c:pt>
              </c:strCache>
            </c:strRef>
          </c:cat>
          <c:val>
            <c:numRef>
              <c:f>'III.5.12.Trasp. recibidos'!$E$5:$E$15</c:f>
              <c:numCache>
                <c:formatCode>#,##0</c:formatCode>
                <c:ptCount val="11"/>
                <c:pt idx="0">
                  <c:v>115</c:v>
                </c:pt>
                <c:pt idx="1">
                  <c:v>176</c:v>
                </c:pt>
                <c:pt idx="2">
                  <c:v>136</c:v>
                </c:pt>
                <c:pt idx="3">
                  <c:v>217</c:v>
                </c:pt>
                <c:pt idx="4">
                  <c:v>174</c:v>
                </c:pt>
                <c:pt idx="5">
                  <c:v>505</c:v>
                </c:pt>
                <c:pt idx="6">
                  <c:v>572</c:v>
                </c:pt>
                <c:pt idx="7">
                  <c:v>1014</c:v>
                </c:pt>
                <c:pt idx="8">
                  <c:v>1482</c:v>
                </c:pt>
                <c:pt idx="9">
                  <c:v>2468</c:v>
                </c:pt>
                <c:pt idx="10">
                  <c:v>1539</c:v>
                </c:pt>
              </c:numCache>
            </c:numRef>
          </c:val>
        </c:ser>
        <c:ser>
          <c:idx val="4"/>
          <c:order val="4"/>
          <c:tx>
            <c:strRef>
              <c:f>'III.5.12.Trasp. recibidos'!$F$4</c:f>
              <c:strCache>
                <c:ptCount val="1"/>
                <c:pt idx="0">
                  <c:v>Porvenir </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Jun.15</c:v>
                </c:pt>
              </c:strCache>
            </c:strRef>
          </c:cat>
          <c:val>
            <c:numRef>
              <c:f>'III.5.12.Trasp. recibidos'!$F$5:$F$15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'III.5.12.Trasp. recibidos'!$G$4</c:f>
              <c:strCache>
                <c:ptCount val="1"/>
                <c:pt idx="0">
                  <c:v> Reservas </c:v>
                </c:pt>
              </c:strCache>
            </c:strRef>
          </c:tx>
          <c:spPr>
            <a:solidFill>
              <a:schemeClr val="accent5">
                <a:lumMod val="75000"/>
              </a:schemeClr>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Jun.15</c:v>
                </c:pt>
              </c:strCache>
            </c:strRef>
          </c:cat>
          <c:val>
            <c:numRef>
              <c:f>'III.5.12.Trasp. recibidos'!$G$5:$G$15</c:f>
              <c:numCache>
                <c:formatCode>#,##0</c:formatCode>
                <c:ptCount val="11"/>
                <c:pt idx="0">
                  <c:v>128</c:v>
                </c:pt>
                <c:pt idx="1">
                  <c:v>1070</c:v>
                </c:pt>
                <c:pt idx="2">
                  <c:v>585</c:v>
                </c:pt>
                <c:pt idx="3">
                  <c:v>497</c:v>
                </c:pt>
                <c:pt idx="4">
                  <c:v>1232</c:v>
                </c:pt>
                <c:pt idx="5">
                  <c:v>2471</c:v>
                </c:pt>
                <c:pt idx="6">
                  <c:v>3158</c:v>
                </c:pt>
                <c:pt idx="7">
                  <c:v>3741</c:v>
                </c:pt>
                <c:pt idx="8">
                  <c:v>7614</c:v>
                </c:pt>
                <c:pt idx="9">
                  <c:v>14806</c:v>
                </c:pt>
                <c:pt idx="10">
                  <c:v>8258</c:v>
                </c:pt>
              </c:numCache>
            </c:numRef>
          </c:val>
        </c:ser>
        <c:ser>
          <c:idx val="6"/>
          <c:order val="6"/>
          <c:tx>
            <c:strRef>
              <c:f>'III.5.12.Trasp. recibidos'!$H$4</c:f>
              <c:strCache>
                <c:ptCount val="1"/>
                <c:pt idx="0">
                  <c:v>Romana</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Jun.15</c:v>
                </c:pt>
              </c:strCache>
            </c:strRef>
          </c:cat>
          <c:val>
            <c:numRef>
              <c:f>'III.5.12.Trasp. recibidos'!$H$5:$H$15</c:f>
              <c:numCache>
                <c:formatCode>#,##0</c:formatCode>
                <c:ptCount val="11"/>
                <c:pt idx="0">
                  <c:v>3</c:v>
                </c:pt>
                <c:pt idx="1">
                  <c:v>19</c:v>
                </c:pt>
                <c:pt idx="2">
                  <c:v>8</c:v>
                </c:pt>
                <c:pt idx="3">
                  <c:v>3</c:v>
                </c:pt>
                <c:pt idx="4">
                  <c:v>3</c:v>
                </c:pt>
                <c:pt idx="5">
                  <c:v>2</c:v>
                </c:pt>
                <c:pt idx="6">
                  <c:v>8</c:v>
                </c:pt>
                <c:pt idx="7">
                  <c:v>11</c:v>
                </c:pt>
                <c:pt idx="8">
                  <c:v>7</c:v>
                </c:pt>
                <c:pt idx="9">
                  <c:v>768</c:v>
                </c:pt>
                <c:pt idx="10">
                  <c:v>521</c:v>
                </c:pt>
              </c:numCache>
            </c:numRef>
          </c:val>
        </c:ser>
        <c:ser>
          <c:idx val="7"/>
          <c:order val="7"/>
          <c:tx>
            <c:strRef>
              <c:f>'III.5.12.Trasp. recibidos'!$I$4</c:f>
              <c:strCache>
                <c:ptCount val="1"/>
                <c:pt idx="0">
                  <c:v>Scotia Crecer</c:v>
                </c:pt>
              </c:strCache>
            </c:strRef>
          </c:tx>
          <c:spPr>
            <a:solidFill>
              <a:srgbClr val="00B05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Jun.15</c:v>
                </c:pt>
              </c:strCache>
            </c:strRef>
          </c:cat>
          <c:val>
            <c:numRef>
              <c:f>'III.5.12.Trasp. recibidos'!$I$5:$I$15</c:f>
              <c:numCache>
                <c:formatCode>#,##0</c:formatCode>
                <c:ptCount val="11"/>
                <c:pt idx="0">
                  <c:v>68</c:v>
                </c:pt>
                <c:pt idx="1">
                  <c:v>94</c:v>
                </c:pt>
                <c:pt idx="2">
                  <c:v>27</c:v>
                </c:pt>
                <c:pt idx="3">
                  <c:v>131</c:v>
                </c:pt>
                <c:pt idx="4">
                  <c:v>52</c:v>
                </c:pt>
                <c:pt idx="5">
                  <c:v>116</c:v>
                </c:pt>
                <c:pt idx="6">
                  <c:v>306</c:v>
                </c:pt>
                <c:pt idx="7">
                  <c:v>1022</c:v>
                </c:pt>
                <c:pt idx="8">
                  <c:v>1578</c:v>
                </c:pt>
                <c:pt idx="9">
                  <c:v>4313</c:v>
                </c:pt>
                <c:pt idx="10">
                  <c:v>2022</c:v>
                </c:pt>
              </c:numCache>
            </c:numRef>
          </c:val>
        </c:ser>
        <c:ser>
          <c:idx val="8"/>
          <c:order val="8"/>
          <c:tx>
            <c:strRef>
              <c:f>'III.5.12.Trasp. recibidos'!$J$4</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7004480077979601E-2"/>
                  <c:y val="-6.016496846191169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Jun.15</c:v>
                </c:pt>
              </c:strCache>
            </c:strRef>
          </c:cat>
          <c:val>
            <c:numRef>
              <c:f>'III.5.12.Trasp. recibidos'!$J$5:$J$15</c:f>
              <c:numCache>
                <c:formatCode>#,##0</c:formatCode>
                <c:ptCount val="11"/>
                <c:pt idx="0">
                  <c:v>136</c:v>
                </c:pt>
                <c:pt idx="1">
                  <c:v>112</c:v>
                </c:pt>
                <c:pt idx="2">
                  <c:v>434</c:v>
                </c:pt>
                <c:pt idx="3">
                  <c:v>180</c:v>
                </c:pt>
                <c:pt idx="4">
                  <c:v>105</c:v>
                </c:pt>
                <c:pt idx="5">
                  <c:v>125</c:v>
                </c:pt>
                <c:pt idx="6">
                  <c:v>247</c:v>
                </c:pt>
                <c:pt idx="7">
                  <c:v>783</c:v>
                </c:pt>
                <c:pt idx="8">
                  <c:v>1278</c:v>
                </c:pt>
                <c:pt idx="9">
                  <c:v>2513</c:v>
                </c:pt>
                <c:pt idx="10">
                  <c:v>1737</c:v>
                </c:pt>
              </c:numCache>
            </c:numRef>
          </c:val>
        </c:ser>
        <c:dLbls>
          <c:showLegendKey val="0"/>
          <c:showVal val="0"/>
          <c:showCatName val="0"/>
          <c:showSerName val="0"/>
          <c:showPercent val="0"/>
          <c:showBubbleSize val="0"/>
        </c:dLbls>
        <c:gapWidth val="29"/>
        <c:shape val="cylinder"/>
        <c:axId val="884019216"/>
        <c:axId val="884018432"/>
        <c:axId val="0"/>
      </c:bar3DChart>
      <c:catAx>
        <c:axId val="884019216"/>
        <c:scaling>
          <c:orientation val="minMax"/>
        </c:scaling>
        <c:delete val="0"/>
        <c:axPos val="b"/>
        <c:numFmt formatCode="General" sourceLinked="1"/>
        <c:majorTickMark val="none"/>
        <c:minorTickMark val="none"/>
        <c:tickLblPos val="nextTo"/>
        <c:txPr>
          <a:bodyPr/>
          <a:lstStyle/>
          <a:p>
            <a:pPr>
              <a:defRPr sz="1200"/>
            </a:pPr>
            <a:endParaRPr lang="es-ES"/>
          </a:p>
        </c:txPr>
        <c:crossAx val="884018432"/>
        <c:crosses val="autoZero"/>
        <c:auto val="1"/>
        <c:lblAlgn val="ctr"/>
        <c:lblOffset val="100"/>
        <c:noMultiLvlLbl val="0"/>
      </c:catAx>
      <c:valAx>
        <c:axId val="884018432"/>
        <c:scaling>
          <c:orientation val="minMax"/>
        </c:scaling>
        <c:delete val="1"/>
        <c:axPos val="l"/>
        <c:numFmt formatCode="#,##0" sourceLinked="1"/>
        <c:majorTickMark val="out"/>
        <c:minorTickMark val="none"/>
        <c:tickLblPos val="nextTo"/>
        <c:crossAx val="884019216"/>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045049436708099"/>
          <c:w val="0.97592240861209223"/>
          <c:h val="0.67389459156540166"/>
        </c:manualLayout>
      </c:layout>
      <c:bar3DChart>
        <c:barDir val="col"/>
        <c:grouping val="stacked"/>
        <c:varyColors val="0"/>
        <c:ser>
          <c:idx val="0"/>
          <c:order val="0"/>
          <c:tx>
            <c:strRef>
              <c:f>'III.5.13.Trasp. cedidos'!$B$4</c:f>
              <c:strCache>
                <c:ptCount val="1"/>
                <c:pt idx="0">
                  <c:v>Camino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'III.5.13.Trasp. cedidos'!$B$5:$B$15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'III.5.13.Trasp. cedidos'!$C$4</c:f>
              <c:strCache>
                <c:ptCount val="1"/>
                <c:pt idx="0">
                  <c:v>Caribalico</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'III.5.13.Trasp. cedidos'!$C$5:$C$15</c:f>
              <c:numCache>
                <c:formatCode>0</c:formatCode>
                <c:ptCount val="11"/>
                <c:pt idx="0">
                  <c:v>57</c:v>
                </c:pt>
                <c:pt idx="1">
                  <c:v>81</c:v>
                </c:pt>
                <c:pt idx="2">
                  <c:v>363</c:v>
                </c:pt>
                <c:pt idx="3">
                  <c:v>0</c:v>
                </c:pt>
                <c:pt idx="4">
                  <c:v>0</c:v>
                </c:pt>
                <c:pt idx="5">
                  <c:v>0</c:v>
                </c:pt>
                <c:pt idx="6">
                  <c:v>0</c:v>
                </c:pt>
                <c:pt idx="7">
                  <c:v>0</c:v>
                </c:pt>
                <c:pt idx="8">
                  <c:v>0</c:v>
                </c:pt>
                <c:pt idx="9">
                  <c:v>0</c:v>
                </c:pt>
                <c:pt idx="10">
                  <c:v>0</c:v>
                </c:pt>
              </c:numCache>
            </c:numRef>
          </c:val>
        </c:ser>
        <c:ser>
          <c:idx val="2"/>
          <c:order val="2"/>
          <c:tx>
            <c:strRef>
              <c:f>'III.5.13.Trasp. cedidos'!$D$4</c:f>
              <c:strCache>
                <c:ptCount val="1"/>
                <c:pt idx="0">
                  <c:v>León</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'III.5.13.Trasp. cedidos'!$D$5:$D$15</c:f>
              <c:numCache>
                <c:formatCode>0</c:formatCode>
                <c:ptCount val="11"/>
                <c:pt idx="0">
                  <c:v>14</c:v>
                </c:pt>
                <c:pt idx="1">
                  <c:v>13</c:v>
                </c:pt>
                <c:pt idx="2">
                  <c:v>10</c:v>
                </c:pt>
                <c:pt idx="3">
                  <c:v>0</c:v>
                </c:pt>
                <c:pt idx="4">
                  <c:v>0</c:v>
                </c:pt>
                <c:pt idx="5">
                  <c:v>0</c:v>
                </c:pt>
                <c:pt idx="6">
                  <c:v>0</c:v>
                </c:pt>
                <c:pt idx="7">
                  <c:v>0</c:v>
                </c:pt>
                <c:pt idx="8">
                  <c:v>0</c:v>
                </c:pt>
                <c:pt idx="9">
                  <c:v>0</c:v>
                </c:pt>
                <c:pt idx="10">
                  <c:v>0</c:v>
                </c:pt>
              </c:numCache>
            </c:numRef>
          </c:val>
        </c:ser>
        <c:ser>
          <c:idx val="3"/>
          <c:order val="3"/>
          <c:tx>
            <c:strRef>
              <c:f>'III.5.13.Trasp. cedidos'!$E$4</c:f>
              <c:strCache>
                <c:ptCount val="1"/>
                <c:pt idx="0">
                  <c:v> Popular</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'III.5.13.Trasp. cedidos'!$E$5:$E$15</c:f>
              <c:numCache>
                <c:formatCode>_(* #,##0_);_(* \(#,##0\);_(* "-"??_);_(@_)</c:formatCode>
                <c:ptCount val="11"/>
                <c:pt idx="0">
                  <c:v>135</c:v>
                </c:pt>
                <c:pt idx="1">
                  <c:v>181</c:v>
                </c:pt>
                <c:pt idx="2">
                  <c:v>208</c:v>
                </c:pt>
                <c:pt idx="3">
                  <c:v>288</c:v>
                </c:pt>
                <c:pt idx="4">
                  <c:v>5982</c:v>
                </c:pt>
                <c:pt idx="5">
                  <c:v>2345</c:v>
                </c:pt>
                <c:pt idx="6">
                  <c:v>1603</c:v>
                </c:pt>
                <c:pt idx="7">
                  <c:v>2631</c:v>
                </c:pt>
                <c:pt idx="8">
                  <c:v>3642</c:v>
                </c:pt>
                <c:pt idx="9">
                  <c:v>7753</c:v>
                </c:pt>
                <c:pt idx="10">
                  <c:v>3853</c:v>
                </c:pt>
              </c:numCache>
            </c:numRef>
          </c:val>
        </c:ser>
        <c:ser>
          <c:idx val="4"/>
          <c:order val="4"/>
          <c:tx>
            <c:strRef>
              <c:f>'III.5.13.Trasp. cedidos'!$F$4</c:f>
              <c:strCache>
                <c:ptCount val="1"/>
                <c:pt idx="0">
                  <c:v>Porvenir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'III.5.13.Trasp. cedidos'!$F$5:$F$15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'III.5.13.Trasp. cedidos'!$G$4</c:f>
              <c:strCache>
                <c:ptCount val="1"/>
                <c:pt idx="0">
                  <c:v> Reservas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'III.5.13.Trasp. cedidos'!$G$5:$G$15</c:f>
              <c:numCache>
                <c:formatCode>_(* #,##0_);_(* \(#,##0\);_(* "-"??_);_(@_)</c:formatCode>
                <c:ptCount val="11"/>
                <c:pt idx="0">
                  <c:v>76</c:v>
                </c:pt>
                <c:pt idx="1">
                  <c:v>81</c:v>
                </c:pt>
                <c:pt idx="2">
                  <c:v>55</c:v>
                </c:pt>
                <c:pt idx="3">
                  <c:v>65</c:v>
                </c:pt>
                <c:pt idx="4">
                  <c:v>5612</c:v>
                </c:pt>
                <c:pt idx="5">
                  <c:v>3608</c:v>
                </c:pt>
                <c:pt idx="6">
                  <c:v>1068</c:v>
                </c:pt>
                <c:pt idx="7">
                  <c:v>1755</c:v>
                </c:pt>
                <c:pt idx="8">
                  <c:v>3099</c:v>
                </c:pt>
                <c:pt idx="9">
                  <c:v>7468</c:v>
                </c:pt>
                <c:pt idx="10">
                  <c:v>3246</c:v>
                </c:pt>
              </c:numCache>
            </c:numRef>
          </c:val>
        </c:ser>
        <c:ser>
          <c:idx val="6"/>
          <c:order val="6"/>
          <c:tx>
            <c:strRef>
              <c:f>'III.5.13.Trasp. cedidos'!$H$4</c:f>
              <c:strCache>
                <c:ptCount val="1"/>
                <c:pt idx="0">
                  <c:v>Romana</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'III.5.13.Trasp. cedidos'!$H$5:$H$15</c:f>
              <c:numCache>
                <c:formatCode>0</c:formatCode>
                <c:ptCount val="11"/>
                <c:pt idx="0">
                  <c:v>8</c:v>
                </c:pt>
                <c:pt idx="1">
                  <c:v>5</c:v>
                </c:pt>
                <c:pt idx="2">
                  <c:v>8</c:v>
                </c:pt>
                <c:pt idx="3">
                  <c:v>19</c:v>
                </c:pt>
                <c:pt idx="4">
                  <c:v>59</c:v>
                </c:pt>
                <c:pt idx="5">
                  <c:v>22</c:v>
                </c:pt>
                <c:pt idx="6">
                  <c:v>23</c:v>
                </c:pt>
                <c:pt idx="7">
                  <c:v>39</c:v>
                </c:pt>
                <c:pt idx="8">
                  <c:v>33</c:v>
                </c:pt>
                <c:pt idx="9">
                  <c:v>107</c:v>
                </c:pt>
                <c:pt idx="10">
                  <c:v>89</c:v>
                </c:pt>
              </c:numCache>
            </c:numRef>
          </c:val>
        </c:ser>
        <c:ser>
          <c:idx val="7"/>
          <c:order val="7"/>
          <c:tx>
            <c:strRef>
              <c:f>'III.5.13.Trasp. cedidos'!$I$4</c:f>
              <c:strCache>
                <c:ptCount val="1"/>
                <c:pt idx="0">
                  <c:v>Scotia Crecer</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'III.5.13.Trasp. cedidos'!$I$5:$I$15</c:f>
              <c:numCache>
                <c:formatCode>_(* #,##0_);_(* \(#,##0\);_(* "-"??_);_(@_)</c:formatCode>
                <c:ptCount val="11"/>
                <c:pt idx="0">
                  <c:v>133</c:v>
                </c:pt>
                <c:pt idx="1">
                  <c:v>230</c:v>
                </c:pt>
                <c:pt idx="2">
                  <c:v>288</c:v>
                </c:pt>
                <c:pt idx="3">
                  <c:v>362</c:v>
                </c:pt>
                <c:pt idx="4">
                  <c:v>9295</c:v>
                </c:pt>
                <c:pt idx="5">
                  <c:v>2869</c:v>
                </c:pt>
                <c:pt idx="6">
                  <c:v>2173</c:v>
                </c:pt>
                <c:pt idx="7">
                  <c:v>3381</c:v>
                </c:pt>
                <c:pt idx="8">
                  <c:v>5417</c:v>
                </c:pt>
                <c:pt idx="9">
                  <c:v>11143</c:v>
                </c:pt>
                <c:pt idx="10">
                  <c:v>5455</c:v>
                </c:pt>
              </c:numCache>
            </c:numRef>
          </c:val>
        </c:ser>
        <c:ser>
          <c:idx val="8"/>
          <c:order val="8"/>
          <c:tx>
            <c:strRef>
              <c:f>'III.5.13.Trasp. cedidos'!$J$4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2612210303355905E-2"/>
                  <c:y val="-6.301314131508739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5.0541517203284486E-3"/>
                  <c:y val="-0.10493097298799353"/>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8.4235862005475025E-3"/>
                  <c:y val="-6.443129920315383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1091304286439774E-2"/>
                  <c:y val="-8.61769107834428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6636956429659525E-2"/>
                  <c:y val="-7.11896219515397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'III.5.13.Trasp. cedidos'!$J$5:$J$15</c:f>
              <c:numCache>
                <c:formatCode>_(* #,##0_);_(* \(#,##0\);_(* "-"??_);_(@_)</c:formatCode>
                <c:ptCount val="11"/>
                <c:pt idx="0">
                  <c:v>310</c:v>
                </c:pt>
                <c:pt idx="1">
                  <c:v>290</c:v>
                </c:pt>
                <c:pt idx="2">
                  <c:v>213</c:v>
                </c:pt>
                <c:pt idx="3">
                  <c:v>228</c:v>
                </c:pt>
                <c:pt idx="4">
                  <c:v>4268</c:v>
                </c:pt>
                <c:pt idx="5">
                  <c:v>1752</c:v>
                </c:pt>
                <c:pt idx="6">
                  <c:v>1337</c:v>
                </c:pt>
                <c:pt idx="7">
                  <c:v>2221</c:v>
                </c:pt>
                <c:pt idx="8">
                  <c:v>3510</c:v>
                </c:pt>
                <c:pt idx="9">
                  <c:v>5850</c:v>
                </c:pt>
                <c:pt idx="10">
                  <c:v>2802</c:v>
                </c:pt>
              </c:numCache>
            </c:numRef>
          </c:val>
        </c:ser>
        <c:dLbls>
          <c:showLegendKey val="0"/>
          <c:showVal val="0"/>
          <c:showCatName val="0"/>
          <c:showSerName val="0"/>
          <c:showPercent val="0"/>
          <c:showBubbleSize val="0"/>
        </c:dLbls>
        <c:gapWidth val="21"/>
        <c:shape val="cylinder"/>
        <c:axId val="884003536"/>
        <c:axId val="884003928"/>
        <c:axId val="0"/>
      </c:bar3DChart>
      <c:catAx>
        <c:axId val="884003536"/>
        <c:scaling>
          <c:orientation val="minMax"/>
        </c:scaling>
        <c:delete val="0"/>
        <c:axPos val="b"/>
        <c:numFmt formatCode="General" sourceLinked="1"/>
        <c:majorTickMark val="none"/>
        <c:minorTickMark val="none"/>
        <c:tickLblPos val="nextTo"/>
        <c:txPr>
          <a:bodyPr/>
          <a:lstStyle/>
          <a:p>
            <a:pPr>
              <a:defRPr sz="1050"/>
            </a:pPr>
            <a:endParaRPr lang="es-ES"/>
          </a:p>
        </c:txPr>
        <c:crossAx val="884003928"/>
        <c:crosses val="autoZero"/>
        <c:auto val="1"/>
        <c:lblAlgn val="ctr"/>
        <c:lblOffset val="100"/>
        <c:noMultiLvlLbl val="0"/>
      </c:catAx>
      <c:valAx>
        <c:axId val="884003928"/>
        <c:scaling>
          <c:orientation val="minMax"/>
        </c:scaling>
        <c:delete val="1"/>
        <c:axPos val="l"/>
        <c:numFmt formatCode="0" sourceLinked="1"/>
        <c:majorTickMark val="out"/>
        <c:minorTickMark val="none"/>
        <c:tickLblPos val="nextTo"/>
        <c:crossAx val="884003536"/>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0"/>
          <c:y val="0.29714725320735463"/>
          <c:w val="0.99381898383120792"/>
          <c:h val="0.58271984845080027"/>
        </c:manualLayout>
      </c:layout>
      <c:bar3DChart>
        <c:barDir val="col"/>
        <c:grouping val="stacked"/>
        <c:varyColors val="0"/>
        <c:ser>
          <c:idx val="0"/>
          <c:order val="0"/>
          <c:tx>
            <c:strRef>
              <c:f>'III.5.13.Trasp. cedidos'!$L$4</c:f>
              <c:strCache>
                <c:ptCount val="1"/>
                <c:pt idx="0">
                  <c:v>FPBC</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'III.5.13.Trasp. cedidos'!$L$5:$L$15</c:f>
              <c:numCache>
                <c:formatCode>0</c:formatCode>
                <c:ptCount val="11"/>
                <c:pt idx="0">
                  <c:v>0</c:v>
                </c:pt>
                <c:pt idx="1">
                  <c:v>259</c:v>
                </c:pt>
                <c:pt idx="2">
                  <c:v>25</c:v>
                </c:pt>
                <c:pt idx="3">
                  <c:v>7</c:v>
                </c:pt>
                <c:pt idx="4">
                  <c:v>7</c:v>
                </c:pt>
                <c:pt idx="5">
                  <c:v>5</c:v>
                </c:pt>
                <c:pt idx="6">
                  <c:v>23</c:v>
                </c:pt>
                <c:pt idx="7">
                  <c:v>3</c:v>
                </c:pt>
                <c:pt idx="8">
                  <c:v>7</c:v>
                </c:pt>
                <c:pt idx="9">
                  <c:v>5</c:v>
                </c:pt>
                <c:pt idx="10">
                  <c:v>2</c:v>
                </c:pt>
              </c:numCache>
            </c:numRef>
          </c:val>
        </c:ser>
        <c:ser>
          <c:idx val="1"/>
          <c:order val="1"/>
          <c:tx>
            <c:strRef>
              <c:f>'III.5.13.Trasp. cedidos'!$M$4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0101011707788389E-2"/>
                  <c:y val="-6.135458808907028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'III.5.13.Trasp. cedidos'!$M$5:$M$15</c:f>
              <c:numCache>
                <c:formatCode>0</c:formatCode>
                <c:ptCount val="11"/>
                <c:pt idx="0">
                  <c:v>0</c:v>
                </c:pt>
                <c:pt idx="1">
                  <c:v>719</c:v>
                </c:pt>
                <c:pt idx="2">
                  <c:v>77</c:v>
                </c:pt>
                <c:pt idx="3">
                  <c:v>59</c:v>
                </c:pt>
                <c:pt idx="4">
                  <c:v>64</c:v>
                </c:pt>
                <c:pt idx="5">
                  <c:v>43</c:v>
                </c:pt>
                <c:pt idx="6">
                  <c:v>41</c:v>
                </c:pt>
                <c:pt idx="7">
                  <c:v>16</c:v>
                </c:pt>
                <c:pt idx="8">
                  <c:v>32</c:v>
                </c:pt>
                <c:pt idx="9">
                  <c:v>32</c:v>
                </c:pt>
                <c:pt idx="10">
                  <c:v>13</c:v>
                </c:pt>
              </c:numCache>
            </c:numRef>
          </c:val>
        </c:ser>
        <c:ser>
          <c:idx val="2"/>
          <c:order val="2"/>
          <c:tx>
            <c:strRef>
              <c:f>'III.5.13.Trasp. cedidos'!$N$4</c:f>
              <c:strCache>
                <c:ptCount val="1"/>
                <c:pt idx="0">
                  <c:v>INABIMA</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'III.5.13.Trasp. cedidos'!$N$5:$N$15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3"/>
          <c:order val="3"/>
          <c:tx>
            <c:strRef>
              <c:f>'III.5.13.Trasp. cedidos'!$O$4</c:f>
              <c:strCache>
                <c:ptCount val="1"/>
                <c:pt idx="0">
                  <c:v>S.E.H.</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'III.5.13.Trasp. cedidos'!$O$5:$O$15</c:f>
              <c:numCache>
                <c:formatCode>0</c:formatCode>
                <c:ptCount val="11"/>
                <c:pt idx="0">
                  <c:v>0</c:v>
                </c:pt>
                <c:pt idx="1">
                  <c:v>0</c:v>
                </c:pt>
                <c:pt idx="2">
                  <c:v>0</c:v>
                </c:pt>
                <c:pt idx="3">
                  <c:v>0</c:v>
                </c:pt>
                <c:pt idx="4">
                  <c:v>0</c:v>
                </c:pt>
                <c:pt idx="5">
                  <c:v>0</c:v>
                </c:pt>
                <c:pt idx="6">
                  <c:v>0</c:v>
                </c:pt>
                <c:pt idx="7">
                  <c:v>0</c:v>
                </c:pt>
                <c:pt idx="8">
                  <c:v>0</c:v>
                </c:pt>
                <c:pt idx="9">
                  <c:v>7</c:v>
                </c:pt>
                <c:pt idx="10">
                  <c:v>52</c:v>
                </c:pt>
              </c:numCache>
            </c:numRef>
          </c:val>
        </c:ser>
        <c:dLbls>
          <c:showLegendKey val="0"/>
          <c:showVal val="0"/>
          <c:showCatName val="0"/>
          <c:showSerName val="0"/>
          <c:showPercent val="0"/>
          <c:showBubbleSize val="0"/>
        </c:dLbls>
        <c:gapWidth val="13"/>
        <c:shape val="cylinder"/>
        <c:axId val="884004712"/>
        <c:axId val="884005496"/>
        <c:axId val="0"/>
      </c:bar3DChart>
      <c:catAx>
        <c:axId val="884004712"/>
        <c:scaling>
          <c:orientation val="minMax"/>
        </c:scaling>
        <c:delete val="0"/>
        <c:axPos val="b"/>
        <c:numFmt formatCode="General" sourceLinked="1"/>
        <c:majorTickMark val="none"/>
        <c:minorTickMark val="none"/>
        <c:tickLblPos val="nextTo"/>
        <c:txPr>
          <a:bodyPr/>
          <a:lstStyle/>
          <a:p>
            <a:pPr>
              <a:defRPr sz="1050"/>
            </a:pPr>
            <a:endParaRPr lang="es-ES"/>
          </a:p>
        </c:txPr>
        <c:crossAx val="884005496"/>
        <c:crosses val="autoZero"/>
        <c:auto val="1"/>
        <c:lblAlgn val="ctr"/>
        <c:lblOffset val="100"/>
        <c:noMultiLvlLbl val="0"/>
      </c:catAx>
      <c:valAx>
        <c:axId val="884005496"/>
        <c:scaling>
          <c:orientation val="minMax"/>
        </c:scaling>
        <c:delete val="1"/>
        <c:axPos val="l"/>
        <c:numFmt formatCode="0" sourceLinked="1"/>
        <c:majorTickMark val="out"/>
        <c:minorTickMark val="none"/>
        <c:tickLblPos val="nextTo"/>
        <c:crossAx val="884004712"/>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Camino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Jun.2015</c:v>
                </c:pt>
              </c:strCache>
            </c:strRef>
          </c:cat>
          <c:val>
            <c:numRef>
              <c:f>'III.5.14.Trasp. netos'!$B$5:$B$15</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'III.5.14.Trasp. netos'!$C$4</c:f>
              <c:strCache>
                <c:ptCount val="1"/>
                <c:pt idx="0">
                  <c:v>Caribalico</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Jun.2015</c:v>
                </c:pt>
              </c:strCache>
            </c:strRef>
          </c:cat>
          <c:val>
            <c:numRef>
              <c:f>'III.5.14.Trasp. netos'!$C$5:$C$15</c:f>
              <c:numCache>
                <c:formatCode>#,##0_);[Red]\(#,##0\)</c:formatCode>
                <c:ptCount val="11"/>
                <c:pt idx="0">
                  <c:v>-53</c:v>
                </c:pt>
                <c:pt idx="1">
                  <c:v>-62</c:v>
                </c:pt>
                <c:pt idx="2">
                  <c:v>-363</c:v>
                </c:pt>
                <c:pt idx="3">
                  <c:v>0</c:v>
                </c:pt>
                <c:pt idx="4">
                  <c:v>0</c:v>
                </c:pt>
                <c:pt idx="5">
                  <c:v>0</c:v>
                </c:pt>
                <c:pt idx="6">
                  <c:v>0</c:v>
                </c:pt>
                <c:pt idx="7">
                  <c:v>0</c:v>
                </c:pt>
                <c:pt idx="8">
                  <c:v>0</c:v>
                </c:pt>
                <c:pt idx="9">
                  <c:v>0</c:v>
                </c:pt>
                <c:pt idx="10">
                  <c:v>0</c:v>
                </c:pt>
              </c:numCache>
            </c:numRef>
          </c:val>
        </c:ser>
        <c:ser>
          <c:idx val="2"/>
          <c:order val="2"/>
          <c:tx>
            <c:strRef>
              <c:f>'III.5.14.Trasp. netos'!$D$4</c:f>
              <c:strCache>
                <c:ptCount val="1"/>
                <c:pt idx="0">
                  <c:v>León</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Jun.2015</c:v>
                </c:pt>
              </c:strCache>
            </c:strRef>
          </c:cat>
          <c:val>
            <c:numRef>
              <c:f>'III.5.14.Trasp. netos'!$D$5:$D$15</c:f>
              <c:numCache>
                <c:formatCode>#,##0_);[Red]\(#,##0\)</c:formatCode>
                <c:ptCount val="11"/>
                <c:pt idx="0">
                  <c:v>265</c:v>
                </c:pt>
                <c:pt idx="1">
                  <c:v>336</c:v>
                </c:pt>
                <c:pt idx="2">
                  <c:v>47</c:v>
                </c:pt>
                <c:pt idx="3">
                  <c:v>0</c:v>
                </c:pt>
                <c:pt idx="4">
                  <c:v>0</c:v>
                </c:pt>
                <c:pt idx="5">
                  <c:v>0</c:v>
                </c:pt>
                <c:pt idx="6">
                  <c:v>0</c:v>
                </c:pt>
                <c:pt idx="7">
                  <c:v>0</c:v>
                </c:pt>
                <c:pt idx="8">
                  <c:v>0</c:v>
                </c:pt>
                <c:pt idx="9">
                  <c:v>0</c:v>
                </c:pt>
                <c:pt idx="10">
                  <c:v>0</c:v>
                </c:pt>
              </c:numCache>
            </c:numRef>
          </c:val>
        </c:ser>
        <c:ser>
          <c:idx val="3"/>
          <c:order val="3"/>
          <c:tx>
            <c:strRef>
              <c:f>'III.5.14.Trasp. netos'!$E$4</c:f>
              <c:strCache>
                <c:ptCount val="1"/>
                <c:pt idx="0">
                  <c:v> Popular</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Jun.2015</c:v>
                </c:pt>
              </c:strCache>
            </c:strRef>
          </c:cat>
          <c:val>
            <c:numRef>
              <c:f>'III.5.14.Trasp. netos'!$E$5:$E$15</c:f>
              <c:numCache>
                <c:formatCode>#,##0_);[Red]\(#,##0\)</c:formatCode>
                <c:ptCount val="11"/>
                <c:pt idx="0">
                  <c:v>-20</c:v>
                </c:pt>
                <c:pt idx="1">
                  <c:v>-5</c:v>
                </c:pt>
                <c:pt idx="2">
                  <c:v>-72</c:v>
                </c:pt>
                <c:pt idx="3">
                  <c:v>-71</c:v>
                </c:pt>
                <c:pt idx="4">
                  <c:v>-5808</c:v>
                </c:pt>
                <c:pt idx="5">
                  <c:v>-1840</c:v>
                </c:pt>
                <c:pt idx="6">
                  <c:v>-1031</c:v>
                </c:pt>
                <c:pt idx="7">
                  <c:v>-1617</c:v>
                </c:pt>
                <c:pt idx="8">
                  <c:v>-2160</c:v>
                </c:pt>
                <c:pt idx="9">
                  <c:v>-5285</c:v>
                </c:pt>
                <c:pt idx="10">
                  <c:v>-2314</c:v>
                </c:pt>
              </c:numCache>
            </c:numRef>
          </c:val>
        </c:ser>
        <c:ser>
          <c:idx val="4"/>
          <c:order val="4"/>
          <c:tx>
            <c:strRef>
              <c:f>'III.5.14.Trasp. netos'!$F$4</c:f>
              <c:strCache>
                <c:ptCount val="1"/>
                <c:pt idx="0">
                  <c:v>Porvenir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Jun.2015</c:v>
                </c:pt>
              </c:strCache>
            </c:strRef>
          </c:cat>
          <c:val>
            <c:numRef>
              <c:f>'III.5.14.Trasp. netos'!$F$5:$F$15</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'III.5.14.Trasp. netos'!$G$4</c:f>
              <c:strCache>
                <c:ptCount val="1"/>
                <c:pt idx="0">
                  <c:v> Reservas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Jun.2015</c:v>
                </c:pt>
              </c:strCache>
            </c:strRef>
          </c:cat>
          <c:val>
            <c:numRef>
              <c:f>'III.5.14.Trasp. netos'!$G$5:$G$15</c:f>
              <c:numCache>
                <c:formatCode>#,##0_);[Red]\(#,##0\)</c:formatCode>
                <c:ptCount val="11"/>
                <c:pt idx="0">
                  <c:v>52</c:v>
                </c:pt>
                <c:pt idx="1">
                  <c:v>989</c:v>
                </c:pt>
                <c:pt idx="2">
                  <c:v>530</c:v>
                </c:pt>
                <c:pt idx="3">
                  <c:v>432</c:v>
                </c:pt>
                <c:pt idx="4">
                  <c:v>-4380</c:v>
                </c:pt>
                <c:pt idx="5">
                  <c:v>-1137</c:v>
                </c:pt>
                <c:pt idx="6">
                  <c:v>2090</c:v>
                </c:pt>
                <c:pt idx="7">
                  <c:v>1986</c:v>
                </c:pt>
                <c:pt idx="8">
                  <c:v>4515</c:v>
                </c:pt>
                <c:pt idx="9">
                  <c:v>7338</c:v>
                </c:pt>
                <c:pt idx="10">
                  <c:v>5012</c:v>
                </c:pt>
              </c:numCache>
            </c:numRef>
          </c:val>
        </c:ser>
        <c:ser>
          <c:idx val="6"/>
          <c:order val="6"/>
          <c:tx>
            <c:strRef>
              <c:f>'III.5.14.Trasp. netos'!$H$4</c:f>
              <c:strCache>
                <c:ptCount val="1"/>
                <c:pt idx="0">
                  <c:v>Romana</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Jun.2015</c:v>
                </c:pt>
              </c:strCache>
            </c:strRef>
          </c:cat>
          <c:val>
            <c:numRef>
              <c:f>'III.5.14.Trasp. netos'!$H$5:$H$15</c:f>
              <c:numCache>
                <c:formatCode>#,##0_);[Red]\(#,##0\)</c:formatCode>
                <c:ptCount val="11"/>
                <c:pt idx="0">
                  <c:v>-5</c:v>
                </c:pt>
                <c:pt idx="1">
                  <c:v>14</c:v>
                </c:pt>
                <c:pt idx="2">
                  <c:v>0</c:v>
                </c:pt>
                <c:pt idx="3">
                  <c:v>-16</c:v>
                </c:pt>
                <c:pt idx="4">
                  <c:v>-56</c:v>
                </c:pt>
                <c:pt idx="5">
                  <c:v>-20</c:v>
                </c:pt>
                <c:pt idx="6">
                  <c:v>-15</c:v>
                </c:pt>
                <c:pt idx="7">
                  <c:v>-28</c:v>
                </c:pt>
                <c:pt idx="8">
                  <c:v>-26</c:v>
                </c:pt>
                <c:pt idx="9">
                  <c:v>661</c:v>
                </c:pt>
                <c:pt idx="10">
                  <c:v>432</c:v>
                </c:pt>
              </c:numCache>
            </c:numRef>
          </c:val>
        </c:ser>
        <c:ser>
          <c:idx val="7"/>
          <c:order val="7"/>
          <c:tx>
            <c:strRef>
              <c:f>'III.5.14.Trasp. netos'!$I$4</c:f>
              <c:strCache>
                <c:ptCount val="1"/>
                <c:pt idx="0">
                  <c:v>Scotia Crecer</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Jun.2015</c:v>
                </c:pt>
              </c:strCache>
            </c:strRef>
          </c:cat>
          <c:val>
            <c:numRef>
              <c:f>'III.5.14.Trasp. netos'!$I$5:$I$15</c:f>
              <c:numCache>
                <c:formatCode>#,##0_);[Red]\(#,##0\)</c:formatCode>
                <c:ptCount val="11"/>
                <c:pt idx="0">
                  <c:v>-65</c:v>
                </c:pt>
                <c:pt idx="1">
                  <c:v>-136</c:v>
                </c:pt>
                <c:pt idx="2">
                  <c:v>-261</c:v>
                </c:pt>
                <c:pt idx="3">
                  <c:v>-231</c:v>
                </c:pt>
                <c:pt idx="4">
                  <c:v>-9243</c:v>
                </c:pt>
                <c:pt idx="5">
                  <c:v>-2753</c:v>
                </c:pt>
                <c:pt idx="6">
                  <c:v>-1867</c:v>
                </c:pt>
                <c:pt idx="7">
                  <c:v>-2359</c:v>
                </c:pt>
                <c:pt idx="8">
                  <c:v>-3839</c:v>
                </c:pt>
                <c:pt idx="9">
                  <c:v>-6830</c:v>
                </c:pt>
                <c:pt idx="10">
                  <c:v>-3433</c:v>
                </c:pt>
              </c:numCache>
            </c:numRef>
          </c:val>
        </c:ser>
        <c:ser>
          <c:idx val="8"/>
          <c:order val="8"/>
          <c:tx>
            <c:strRef>
              <c:f>'III.5.14.Trasp. netos'!$J$4</c:f>
              <c:strCache>
                <c:ptCount val="1"/>
                <c:pt idx="0">
                  <c:v>Siembra</c:v>
                </c:pt>
              </c:strCache>
            </c:strRef>
          </c:tx>
          <c:invertIfNegative val="0"/>
          <c:dLbls>
            <c:dLbl>
              <c:idx val="0"/>
              <c:layout>
                <c:manualLayout>
                  <c:x val="9.2868999063048748E-4"/>
                  <c:y val="6.3505299293200299E-2"/>
                </c:manualLayout>
              </c:layout>
              <c:tx>
                <c:rich>
                  <a:bodyPr/>
                  <a:lstStyle/>
                  <a:p>
                    <a:r>
                      <a:rPr lang="en-US" sz="1600"/>
                      <a:t>0</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9.2868999063048748E-4"/>
                  <c:y val="6.7354096127489119E-2"/>
                </c:manualLayout>
              </c:layout>
              <c:tx>
                <c:rich>
                  <a:bodyPr/>
                  <a:lstStyle/>
                  <a:p>
                    <a:r>
                      <a:rPr lang="en-US" sz="1600"/>
                      <a:t>0</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8.3582099156743767E-3"/>
                  <c:y val="8.8522478716088329E-2"/>
                </c:manualLayout>
              </c:layout>
              <c:tx>
                <c:rich>
                  <a:bodyPr/>
                  <a:lstStyle/>
                  <a:p>
                    <a:r>
                      <a:rPr lang="en-US" sz="1600">
                        <a:solidFill>
                          <a:schemeClr val="tx1"/>
                        </a:solidFill>
                      </a:rPr>
                      <a:t>958</a:t>
                    </a:r>
                    <a:endParaRPr lang="en-US" sz="1400">
                      <a:solidFill>
                        <a:schemeClr val="tx1"/>
                      </a:solidFill>
                    </a:endParaRP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7.4295199250442121E-3"/>
                  <c:y val="-6.1580749348621483E-2"/>
                </c:manualLayout>
              </c:layout>
              <c:tx>
                <c:rich>
                  <a:bodyPr/>
                  <a:lstStyle/>
                  <a:p>
                    <a:r>
                      <a:rPr lang="en-US" sz="1600"/>
                      <a:t>102</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4.6434499531524034E-3"/>
                  <c:y val="8.0824885047500267E-2"/>
                </c:manualLayout>
              </c:layout>
              <c:tx>
                <c:rich>
                  <a:bodyPr/>
                  <a:lstStyle/>
                  <a:p>
                    <a:r>
                      <a:rPr lang="en-US" sz="1600">
                        <a:solidFill>
                          <a:schemeClr val="tx1"/>
                        </a:solidFill>
                      </a:rPr>
                      <a:t>66</a:t>
                    </a:r>
                    <a:endParaRPr lang="en-US" sz="1400">
                      <a:solidFill>
                        <a:schemeClr val="tx1"/>
                      </a:solidFill>
                    </a:endParaRP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072969878196078E-2"/>
                  <c:y val="-6.7353944600054699E-2"/>
                </c:manualLayout>
              </c:layout>
              <c:tx>
                <c:rich>
                  <a:bodyPr/>
                  <a:lstStyle/>
                  <a:p>
                    <a:pPr>
                      <a:defRPr lang="en-US" sz="1600">
                        <a:solidFill>
                          <a:srgbClr val="FF0000"/>
                        </a:solidFill>
                      </a:defRPr>
                    </a:pPr>
                    <a:r>
                      <a:rPr lang="en-US" sz="1600">
                        <a:solidFill>
                          <a:srgbClr val="FF0000"/>
                        </a:solidFill>
                      </a:rPr>
                      <a:t>(23,650)</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6"/>
              <c:layout>
                <c:manualLayout>
                  <c:x val="3.7147599625218892E-3"/>
                  <c:y val="-5.3883004152609514E-2"/>
                </c:manualLayout>
              </c:layout>
              <c:tx>
                <c:rich>
                  <a:bodyPr/>
                  <a:lstStyle/>
                  <a:p>
                    <a:pPr>
                      <a:defRPr lang="en-US" sz="1600">
                        <a:solidFill>
                          <a:srgbClr val="FF0000"/>
                        </a:solidFill>
                      </a:defRPr>
                    </a:pPr>
                    <a:r>
                      <a:rPr lang="en-US" sz="1600">
                        <a:solidFill>
                          <a:srgbClr val="FF0000"/>
                        </a:solidFill>
                      </a:rPr>
                      <a:t>(7,377)</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7"/>
              <c:layout>
                <c:manualLayout>
                  <c:x val="8.2765613231460342E-3"/>
                  <c:y val="-4.5266063406349671E-2"/>
                </c:manualLayout>
              </c:layout>
              <c:tx>
                <c:rich>
                  <a:bodyPr/>
                  <a:lstStyle/>
                  <a:p>
                    <a:pPr>
                      <a:defRPr lang="en-US" sz="1600" b="0">
                        <a:solidFill>
                          <a:srgbClr val="FF0000"/>
                        </a:solidFill>
                      </a:defRPr>
                    </a:pPr>
                    <a:r>
                      <a:rPr lang="en-US" sz="1600" b="0">
                        <a:solidFill>
                          <a:srgbClr val="FF0000"/>
                        </a:solidFill>
                      </a:rPr>
                      <a:t>(1,913)</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2.5459992728748607E-2"/>
                  <c:y val="-3.0607364897178385E-2"/>
                </c:manualLayout>
              </c:layout>
              <c:tx>
                <c:rich>
                  <a:bodyPr/>
                  <a:lstStyle/>
                  <a:p>
                    <a:pPr>
                      <a:defRPr lang="en-US" sz="1600" b="0">
                        <a:solidFill>
                          <a:srgbClr val="FF0000"/>
                        </a:solidFill>
                      </a:defRPr>
                    </a:pPr>
                    <a:r>
                      <a:rPr lang="en-US" sz="1600" b="0">
                        <a:solidFill>
                          <a:srgbClr val="FF0000"/>
                        </a:solidFill>
                      </a:rPr>
                      <a:t>(1,198)</a:t>
                    </a:r>
                    <a:endParaRPr lang="en-US" b="0">
                      <a:solidFill>
                        <a:srgbClr val="FF0000"/>
                      </a:solidFill>
                    </a:endParaRPr>
                  </a:p>
                </c:rich>
              </c:tx>
              <c:spPr/>
              <c:showLegendKey val="0"/>
              <c:showVal val="1"/>
              <c:showCatName val="0"/>
              <c:showSerName val="0"/>
              <c:showPercent val="0"/>
              <c:showBubbleSize val="0"/>
              <c:extLst>
                <c:ext xmlns:c15="http://schemas.microsoft.com/office/drawing/2012/chart" uri="{CE6537A1-D6FC-4f65-9D91-7224C49458BB}"/>
              </c:extLst>
            </c:dLbl>
            <c:dLbl>
              <c:idx val="9"/>
              <c:layout>
                <c:manualLayout>
                  <c:x val="1.5005358803531765E-2"/>
                  <c:y val="-4.567375988549193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Jun.2015</c:v>
                </c:pt>
              </c:strCache>
            </c:strRef>
          </c:cat>
          <c:val>
            <c:numRef>
              <c:f>'III.5.14.Trasp. netos'!$J$5:$J$15</c:f>
              <c:numCache>
                <c:formatCode>#,##0_);[Red]\(#,##0\)</c:formatCode>
                <c:ptCount val="11"/>
                <c:pt idx="0">
                  <c:v>-174</c:v>
                </c:pt>
                <c:pt idx="1">
                  <c:v>-178</c:v>
                </c:pt>
                <c:pt idx="2">
                  <c:v>221</c:v>
                </c:pt>
                <c:pt idx="3">
                  <c:v>-48</c:v>
                </c:pt>
                <c:pt idx="4">
                  <c:v>-4163</c:v>
                </c:pt>
                <c:pt idx="5">
                  <c:v>-1627</c:v>
                </c:pt>
                <c:pt idx="6">
                  <c:v>-1090</c:v>
                </c:pt>
                <c:pt idx="7">
                  <c:v>-1438</c:v>
                </c:pt>
                <c:pt idx="8">
                  <c:v>-2232</c:v>
                </c:pt>
                <c:pt idx="9">
                  <c:v>-3337</c:v>
                </c:pt>
                <c:pt idx="10">
                  <c:v>-1065</c:v>
                </c:pt>
              </c:numCache>
            </c:numRef>
          </c:val>
        </c:ser>
        <c:dLbls>
          <c:showLegendKey val="0"/>
          <c:showVal val="0"/>
          <c:showCatName val="0"/>
          <c:showSerName val="0"/>
          <c:showPercent val="0"/>
          <c:showBubbleSize val="0"/>
        </c:dLbls>
        <c:gapWidth val="42"/>
        <c:shape val="cylinder"/>
        <c:axId val="884005888"/>
        <c:axId val="884006672"/>
        <c:axId val="0"/>
      </c:bar3DChart>
      <c:catAx>
        <c:axId val="884005888"/>
        <c:scaling>
          <c:orientation val="minMax"/>
        </c:scaling>
        <c:delete val="0"/>
        <c:axPos val="b"/>
        <c:numFmt formatCode="General" sourceLinked="1"/>
        <c:majorTickMark val="none"/>
        <c:minorTickMark val="none"/>
        <c:tickLblPos val="low"/>
        <c:txPr>
          <a:bodyPr/>
          <a:lstStyle/>
          <a:p>
            <a:pPr>
              <a:defRPr lang="en-US" sz="1600"/>
            </a:pPr>
            <a:endParaRPr lang="es-ES"/>
          </a:p>
        </c:txPr>
        <c:crossAx val="884006672"/>
        <c:crosses val="autoZero"/>
        <c:auto val="1"/>
        <c:lblAlgn val="ctr"/>
        <c:lblOffset val="100"/>
        <c:noMultiLvlLbl val="0"/>
      </c:catAx>
      <c:valAx>
        <c:axId val="884006672"/>
        <c:scaling>
          <c:orientation val="minMax"/>
        </c:scaling>
        <c:delete val="1"/>
        <c:axPos val="l"/>
        <c:numFmt formatCode="#,##0_);[Red]\(#,##0\)" sourceLinked="1"/>
        <c:majorTickMark val="out"/>
        <c:minorTickMark val="none"/>
        <c:tickLblPos val="nextTo"/>
        <c:crossAx val="884005888"/>
        <c:crosses val="autoZero"/>
        <c:crossBetween val="between"/>
      </c:valAx>
      <c:spPr>
        <a:noFill/>
        <a:ln w="25400">
          <a:noFill/>
        </a:ln>
      </c:spPr>
    </c:plotArea>
    <c:legend>
      <c:legendPos val="b"/>
      <c:layout>
        <c:manualLayout>
          <c:xMode val="edge"/>
          <c:yMode val="edge"/>
          <c:x val="9.494961716260587E-3"/>
          <c:y val="8.0958890181768869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0276265466816649"/>
          <c:y val="2.94571744423631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111486064241969E-2"/>
          <c:y val="0.2873287652530479"/>
          <c:w val="0.97072178477690274"/>
          <c:h val="0.50470083703062818"/>
        </c:manualLayout>
      </c:layout>
      <c:bar3DChart>
        <c:barDir val="col"/>
        <c:grouping val="stacked"/>
        <c:varyColors val="0"/>
        <c:ser>
          <c:idx val="0"/>
          <c:order val="0"/>
          <c:tx>
            <c:strRef>
              <c:f>'III.5.14.Trasp. netos'!$L$4</c:f>
              <c:strCache>
                <c:ptCount val="1"/>
                <c:pt idx="0">
                  <c:v>FPBC</c:v>
                </c:pt>
              </c:strCache>
            </c:strRef>
          </c:tx>
          <c:invertIfNegative val="0"/>
          <c:dLbls>
            <c:dLbl>
              <c:idx val="0"/>
              <c:layout>
                <c:manualLayout>
                  <c:x val="8.8888888888891248E-3"/>
                  <c:y val="-6.169154228855675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7777777777777781E-2"/>
                  <c:y val="-5.373134328358207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185895097687745E-2"/>
                  <c:y val="-3.7735030951388485E-2"/>
                </c:manualLayout>
              </c:layout>
              <c:tx>
                <c:rich>
                  <a:bodyPr/>
                  <a:lstStyle/>
                  <a:p>
                    <a:pPr>
                      <a:defRPr lang="en-US" sz="1800">
                        <a:solidFill>
                          <a:srgbClr val="FF0000"/>
                        </a:solidFill>
                      </a:defRPr>
                    </a:pPr>
                    <a:r>
                      <a:rPr lang="en-US" sz="1800">
                        <a:solidFill>
                          <a:srgbClr val="FF0000"/>
                        </a:solidFill>
                      </a:rPr>
                      <a:t>(958)</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3"/>
              <c:layout>
                <c:manualLayout>
                  <c:x val="1.9553945341297601E-2"/>
                  <c:y val="-2.4668512363799491E-2"/>
                </c:manualLayout>
              </c:layout>
              <c:tx>
                <c:rich>
                  <a:bodyPr/>
                  <a:lstStyle/>
                  <a:p>
                    <a:pPr>
                      <a:defRPr lang="en-US" sz="1800">
                        <a:solidFill>
                          <a:srgbClr val="FF0000"/>
                        </a:solidFill>
                      </a:defRPr>
                    </a:pPr>
                    <a:r>
                      <a:rPr lang="en-US" sz="1800">
                        <a:solidFill>
                          <a:srgbClr val="FF0000"/>
                        </a:solidFill>
                      </a:rPr>
                      <a:t>(102)</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4"/>
              <c:layout>
                <c:manualLayout>
                  <c:x val="1.0517780674658569E-2"/>
                  <c:y val="-2.2678381297353802E-2"/>
                </c:manualLayout>
              </c:layout>
              <c:tx>
                <c:rich>
                  <a:bodyPr/>
                  <a:lstStyle/>
                  <a:p>
                    <a:pPr>
                      <a:defRPr lang="en-US" sz="1800">
                        <a:solidFill>
                          <a:srgbClr val="FF0000"/>
                        </a:solidFill>
                      </a:defRPr>
                    </a:pPr>
                    <a:r>
                      <a:rPr lang="en-US" sz="1800">
                        <a:solidFill>
                          <a:srgbClr val="FF0000"/>
                        </a:solidFill>
                      </a:rPr>
                      <a:t>(66)</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1.3407949006374261E-2"/>
                  <c:y val="0.39327176853048817"/>
                </c:manualLayout>
              </c:layout>
              <c:tx>
                <c:rich>
                  <a:bodyPr/>
                  <a:lstStyle/>
                  <a:p>
                    <a:r>
                      <a:rPr lang="en-US" sz="1800"/>
                      <a:t>23,650</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4.3357627796227934E-3"/>
                  <c:y val="0.21298325461752562"/>
                </c:manualLayout>
              </c:layout>
              <c:tx>
                <c:rich>
                  <a:bodyPr/>
                  <a:lstStyle/>
                  <a:p>
                    <a:r>
                      <a:rPr lang="en-US" sz="1800"/>
                      <a:t>7,377</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5.802511965762109E-3"/>
                  <c:y val="-8.6633247653496781E-2"/>
                </c:manualLayout>
              </c:layout>
              <c:tx>
                <c:rich>
                  <a:bodyPr/>
                  <a:lstStyle/>
                  <a:p>
                    <a:pPr>
                      <a:defRPr lang="en-US" sz="1800" b="0"/>
                    </a:pPr>
                    <a:r>
                      <a:rPr lang="en-US" sz="1800" b="0"/>
                      <a:t>1,913</a:t>
                    </a:r>
                    <a:endParaRPr lang="en-US" sz="1200" b="0"/>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8.1230050667084209E-3"/>
                  <c:y val="9.4535022117803888E-2"/>
                </c:manualLayout>
              </c:layout>
              <c:tx>
                <c:rich>
                  <a:bodyPr/>
                  <a:lstStyle/>
                  <a:p>
                    <a:pPr>
                      <a:defRPr lang="en-US" sz="1800" b="0">
                        <a:solidFill>
                          <a:sysClr val="windowText" lastClr="000000"/>
                        </a:solidFill>
                      </a:defRPr>
                    </a:pPr>
                    <a:r>
                      <a:rPr lang="en-US" sz="1800" b="0">
                        <a:solidFill>
                          <a:sysClr val="windowText" lastClr="000000"/>
                        </a:solidFill>
                      </a:rPr>
                      <a:t>1,198</a:t>
                    </a:r>
                    <a:endParaRPr lang="en-US" b="0">
                      <a:solidFill>
                        <a:sysClr val="windowText" lastClr="000000"/>
                      </a:solidFill>
                    </a:endParaRPr>
                  </a:p>
                </c:rich>
              </c:tx>
              <c:spPr/>
              <c:showLegendKey val="0"/>
              <c:showVal val="1"/>
              <c:showCatName val="0"/>
              <c:showSerName val="0"/>
              <c:showPercent val="0"/>
              <c:showBubbleSize val="0"/>
              <c:extLst>
                <c:ext xmlns:c15="http://schemas.microsoft.com/office/drawing/2012/chart" uri="{CE6537A1-D6FC-4f65-9D91-7224C49458BB}"/>
              </c:extLst>
            </c:dLbl>
            <c:dLbl>
              <c:idx val="9"/>
              <c:layout>
                <c:manualLayout>
                  <c:x val="9.5238095238094067E-3"/>
                  <c:y val="-4.75583811114587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Jun.2015</c:v>
                </c:pt>
              </c:strCache>
            </c:strRef>
          </c:cat>
          <c:val>
            <c:numRef>
              <c:f>'III.5.14.Trasp. netos'!$L$5:$L$15</c:f>
              <c:numCache>
                <c:formatCode>#,##0_);[Red]\(#,##0\)</c:formatCode>
                <c:ptCount val="11"/>
                <c:pt idx="0">
                  <c:v>0</c:v>
                </c:pt>
                <c:pt idx="1">
                  <c:v>-259</c:v>
                </c:pt>
                <c:pt idx="2">
                  <c:v>-25</c:v>
                </c:pt>
                <c:pt idx="3">
                  <c:v>-7</c:v>
                </c:pt>
                <c:pt idx="4">
                  <c:v>-7</c:v>
                </c:pt>
                <c:pt idx="5">
                  <c:v>-5</c:v>
                </c:pt>
                <c:pt idx="6">
                  <c:v>-23</c:v>
                </c:pt>
                <c:pt idx="7">
                  <c:v>-3</c:v>
                </c:pt>
                <c:pt idx="8">
                  <c:v>-7</c:v>
                </c:pt>
                <c:pt idx="9">
                  <c:v>-5</c:v>
                </c:pt>
                <c:pt idx="10">
                  <c:v>-2</c:v>
                </c:pt>
              </c:numCache>
            </c:numRef>
          </c:val>
        </c:ser>
        <c:ser>
          <c:idx val="1"/>
          <c:order val="1"/>
          <c:tx>
            <c:strRef>
              <c:f>'III.5.14.Trasp. netos'!$M$4</c:f>
              <c:strCache>
                <c:ptCount val="1"/>
                <c:pt idx="0">
                  <c:v>Bco Reservas</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Jun.2015</c:v>
                </c:pt>
              </c:strCache>
            </c:strRef>
          </c:cat>
          <c:val>
            <c:numRef>
              <c:f>'III.5.14.Trasp. netos'!$M$5:$M$15</c:f>
              <c:numCache>
                <c:formatCode>#,##0_);[Red]\(#,##0\)</c:formatCode>
                <c:ptCount val="11"/>
                <c:pt idx="0">
                  <c:v>0</c:v>
                </c:pt>
                <c:pt idx="1">
                  <c:v>-719</c:v>
                </c:pt>
                <c:pt idx="2">
                  <c:v>-77</c:v>
                </c:pt>
                <c:pt idx="3">
                  <c:v>-59</c:v>
                </c:pt>
                <c:pt idx="4">
                  <c:v>-64</c:v>
                </c:pt>
                <c:pt idx="5">
                  <c:v>-42</c:v>
                </c:pt>
                <c:pt idx="6">
                  <c:v>-41</c:v>
                </c:pt>
                <c:pt idx="7">
                  <c:v>497</c:v>
                </c:pt>
                <c:pt idx="8">
                  <c:v>-32</c:v>
                </c:pt>
                <c:pt idx="9">
                  <c:v>-32</c:v>
                </c:pt>
                <c:pt idx="10">
                  <c:v>-2</c:v>
                </c:pt>
              </c:numCache>
            </c:numRef>
          </c:val>
        </c:ser>
        <c:ser>
          <c:idx val="2"/>
          <c:order val="2"/>
          <c:tx>
            <c:strRef>
              <c:f>'III.5.14.Trasp. netos'!$N$4</c:f>
              <c:strCache>
                <c:ptCount val="1"/>
                <c:pt idx="0">
                  <c:v>INABIMA</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Jun.2015</c:v>
                </c:pt>
              </c:strCache>
            </c:strRef>
          </c:cat>
          <c:val>
            <c:numRef>
              <c:f>'III.5.14.Trasp. netos'!$N$5:$N$15</c:f>
              <c:numCache>
                <c:formatCode>#,##0_);[Red]\(#,##0\)</c:formatCode>
                <c:ptCount val="11"/>
                <c:pt idx="0">
                  <c:v>0</c:v>
                </c:pt>
                <c:pt idx="1">
                  <c:v>0</c:v>
                </c:pt>
                <c:pt idx="2">
                  <c:v>0</c:v>
                </c:pt>
                <c:pt idx="3">
                  <c:v>0</c:v>
                </c:pt>
                <c:pt idx="4">
                  <c:v>21139</c:v>
                </c:pt>
                <c:pt idx="5">
                  <c:v>3310</c:v>
                </c:pt>
                <c:pt idx="6">
                  <c:v>1778</c:v>
                </c:pt>
                <c:pt idx="7">
                  <c:v>2945</c:v>
                </c:pt>
                <c:pt idx="8">
                  <c:v>2249</c:v>
                </c:pt>
                <c:pt idx="9">
                  <c:v>7035</c:v>
                </c:pt>
                <c:pt idx="10">
                  <c:v>1276</c:v>
                </c:pt>
              </c:numCache>
            </c:numRef>
          </c:val>
        </c:ser>
        <c:ser>
          <c:idx val="3"/>
          <c:order val="3"/>
          <c:tx>
            <c:strRef>
              <c:f>'III.5.14.Trasp. netos'!$O$4</c:f>
              <c:strCache>
                <c:ptCount val="1"/>
                <c:pt idx="0">
                  <c:v>M.H.</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Jun.2015</c:v>
                </c:pt>
              </c:strCache>
            </c:strRef>
          </c:cat>
          <c:val>
            <c:numRef>
              <c:f>'III.5.14.Trasp. netos'!$O$5:$O$15</c:f>
              <c:numCache>
                <c:formatCode>#,##0_);[Red]\(#,##0\)</c:formatCode>
                <c:ptCount val="11"/>
                <c:pt idx="0">
                  <c:v>0</c:v>
                </c:pt>
                <c:pt idx="1">
                  <c:v>20</c:v>
                </c:pt>
                <c:pt idx="2">
                  <c:v>0</c:v>
                </c:pt>
                <c:pt idx="3">
                  <c:v>0</c:v>
                </c:pt>
                <c:pt idx="4">
                  <c:v>2582</c:v>
                </c:pt>
                <c:pt idx="5">
                  <c:v>4114</c:v>
                </c:pt>
                <c:pt idx="6">
                  <c:v>199</c:v>
                </c:pt>
                <c:pt idx="7">
                  <c:v>17</c:v>
                </c:pt>
                <c:pt idx="8">
                  <c:v>1532</c:v>
                </c:pt>
                <c:pt idx="9">
                  <c:v>455</c:v>
                </c:pt>
                <c:pt idx="10">
                  <c:v>96</c:v>
                </c:pt>
              </c:numCache>
            </c:numRef>
          </c:val>
        </c:ser>
        <c:dLbls>
          <c:showLegendKey val="0"/>
          <c:showVal val="0"/>
          <c:showCatName val="0"/>
          <c:showSerName val="0"/>
          <c:showPercent val="0"/>
          <c:showBubbleSize val="0"/>
        </c:dLbls>
        <c:gapWidth val="41"/>
        <c:shape val="cylinder"/>
        <c:axId val="884007456"/>
        <c:axId val="884007848"/>
        <c:axId val="0"/>
      </c:bar3DChart>
      <c:catAx>
        <c:axId val="884007456"/>
        <c:scaling>
          <c:orientation val="minMax"/>
        </c:scaling>
        <c:delete val="0"/>
        <c:axPos val="b"/>
        <c:numFmt formatCode="General" sourceLinked="1"/>
        <c:majorTickMark val="none"/>
        <c:minorTickMark val="none"/>
        <c:tickLblPos val="low"/>
        <c:txPr>
          <a:bodyPr/>
          <a:lstStyle/>
          <a:p>
            <a:pPr>
              <a:defRPr lang="en-US" sz="1600"/>
            </a:pPr>
            <a:endParaRPr lang="es-ES"/>
          </a:p>
        </c:txPr>
        <c:crossAx val="884007848"/>
        <c:crosses val="autoZero"/>
        <c:auto val="1"/>
        <c:lblAlgn val="ctr"/>
        <c:lblOffset val="100"/>
        <c:noMultiLvlLbl val="0"/>
      </c:catAx>
      <c:valAx>
        <c:axId val="884007848"/>
        <c:scaling>
          <c:orientation val="minMax"/>
        </c:scaling>
        <c:delete val="1"/>
        <c:axPos val="l"/>
        <c:numFmt formatCode="#,##0_);[Red]\(#,##0\)" sourceLinked="1"/>
        <c:majorTickMark val="out"/>
        <c:minorTickMark val="none"/>
        <c:tickLblPos val="nextTo"/>
        <c:crossAx val="884007456"/>
        <c:crosses val="autoZero"/>
        <c:crossBetween val="between"/>
      </c:valAx>
      <c:spPr>
        <a:noFill/>
        <a:ln w="25400">
          <a:noFill/>
        </a:ln>
      </c:spPr>
    </c:plotArea>
    <c:legend>
      <c:legendPos val="b"/>
      <c:layout>
        <c:manualLayout>
          <c:xMode val="edge"/>
          <c:yMode val="edge"/>
          <c:x val="1.7872890888638922E-2"/>
          <c:y val="7.3990418109632375E-2"/>
          <c:w val="0.96418189698136336"/>
          <c:h val="3.6165885468156952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8.051459991135862E-2"/>
          <c:y val="0.25608691620069768"/>
          <c:w val="0.84482439367269102"/>
          <c:h val="0.5535328684927830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0"/>
                  </a:pPr>
                  <a:endParaRPr lang="es-ES"/>
                </a:p>
              </c:txPr>
              <c:dLblPos val="outEnd"/>
              <c:showLegendKey val="0"/>
              <c:showVal val="1"/>
              <c:showCatName val="0"/>
              <c:showSerName val="0"/>
              <c:showPercent val="0"/>
              <c:showBubbleSize val="0"/>
            </c:dLbl>
            <c:dLbl>
              <c:idx val="5"/>
              <c:spPr/>
              <c:txPr>
                <a:bodyPr/>
                <a:lstStyle/>
                <a:p>
                  <a:pPr>
                    <a:defRPr sz="2000" b="0"/>
                  </a:pPr>
                  <a:endParaRPr lang="es-ES"/>
                </a:p>
              </c:txPr>
              <c:dLblPos val="outEnd"/>
              <c:showLegendKey val="0"/>
              <c:showVal val="1"/>
              <c:showCatName val="0"/>
              <c:showSerName val="0"/>
              <c:showPercent val="0"/>
              <c:showBubbleSize val="0"/>
            </c:dLbl>
            <c:dLbl>
              <c:idx val="7"/>
              <c:spPr>
                <a:noFill/>
                <a:ln>
                  <a:noFill/>
                </a:ln>
                <a:effectLst/>
              </c:spPr>
              <c:txPr>
                <a:bodyPr/>
                <a:lstStyle/>
                <a:p>
                  <a:pPr>
                    <a:defRPr sz="2000" b="1"/>
                  </a:pPr>
                  <a:endParaRPr lang="es-ES"/>
                </a:p>
              </c:txPr>
              <c:dLblPos val="outEnd"/>
              <c:showLegendKey val="0"/>
              <c:showVal val="1"/>
              <c:showCatName val="0"/>
              <c:showSerName val="0"/>
              <c:showPercent val="0"/>
              <c:showBubbleSize val="0"/>
            </c:dLbl>
            <c:spPr>
              <a:noFill/>
              <a:ln>
                <a:noFill/>
              </a:ln>
              <a:effectLst/>
            </c:spPr>
            <c:txPr>
              <a:bodyPr/>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Jun.2015</c:v>
                </c:pt>
              </c:strCache>
            </c:strRef>
          </c:cat>
          <c:val>
            <c:numRef>
              <c:f>'III.6.3.Afil. SRL'!$B$4:$B$11</c:f>
              <c:numCache>
                <c:formatCode>#,##0_);[Red]\(#,##0\)</c:formatCode>
                <c:ptCount val="8"/>
                <c:pt idx="0">
                  <c:v>1566047</c:v>
                </c:pt>
                <c:pt idx="1">
                  <c:v>1560994</c:v>
                </c:pt>
                <c:pt idx="2">
                  <c:v>1631129</c:v>
                </c:pt>
                <c:pt idx="3">
                  <c:v>1686216</c:v>
                </c:pt>
                <c:pt idx="4">
                  <c:v>1716228</c:v>
                </c:pt>
                <c:pt idx="5">
                  <c:v>1769801</c:v>
                </c:pt>
                <c:pt idx="6">
                  <c:v>1865496</c:v>
                </c:pt>
                <c:pt idx="7">
                  <c:v>1865496</c:v>
                </c:pt>
              </c:numCache>
            </c:numRef>
          </c:val>
        </c:ser>
        <c:ser>
          <c:idx val="1"/>
          <c:order val="1"/>
          <c:tx>
            <c:strRef>
              <c:f>'III.6.3.Afil. SRL'!$D$3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4.0369089178622624E-3"/>
                  <c:y val="6.4436367548628845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Jun.2015</c:v>
                </c:pt>
              </c:strCache>
            </c:strRef>
          </c:cat>
          <c:val>
            <c:numRef>
              <c:f>'III.6.3.Afil. SRL'!$D$4:$D$11</c:f>
              <c:numCache>
                <c:formatCode>#,##0_);[Red]\(#,##0\)</c:formatCode>
                <c:ptCount val="8"/>
                <c:pt idx="0">
                  <c:v>1188229</c:v>
                </c:pt>
                <c:pt idx="1">
                  <c:v>1227725</c:v>
                </c:pt>
                <c:pt idx="2">
                  <c:v>1299087</c:v>
                </c:pt>
                <c:pt idx="3">
                  <c:v>1367790</c:v>
                </c:pt>
                <c:pt idx="4">
                  <c:v>1430273</c:v>
                </c:pt>
                <c:pt idx="5">
                  <c:v>1530322</c:v>
                </c:pt>
                <c:pt idx="6">
                  <c:v>1651202</c:v>
                </c:pt>
                <c:pt idx="7">
                  <c:v>1706784</c:v>
                </c:pt>
              </c:numCache>
            </c:numRef>
          </c:val>
        </c:ser>
        <c:dLbls>
          <c:showLegendKey val="0"/>
          <c:showVal val="0"/>
          <c:showCatName val="0"/>
          <c:showSerName val="0"/>
          <c:showPercent val="0"/>
          <c:showBubbleSize val="0"/>
        </c:dLbls>
        <c:gapWidth val="65"/>
        <c:axId val="884009024"/>
        <c:axId val="884009416"/>
      </c:barChart>
      <c:lineChart>
        <c:grouping val="standard"/>
        <c:varyColors val="0"/>
        <c:ser>
          <c:idx val="2"/>
          <c:order val="2"/>
          <c:tx>
            <c:strRef>
              <c:f>'III.6.3.Afil. SRL'!$F$3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6517576656623433E-3"/>
                  <c:y val="3.434985701737400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6230772810409488E-4"/>
                  <c:y val="-1.7550261108762125E-2"/>
                </c:manualLayout>
              </c:layou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Jun.2015</c:v>
                </c:pt>
              </c:strCache>
            </c:strRef>
          </c:cat>
          <c:val>
            <c:numRef>
              <c:f>'III.6.3.Afil. SRL'!$F$4:$F$11</c:f>
              <c:numCache>
                <c:formatCode>0.0%</c:formatCode>
                <c:ptCount val="8"/>
                <c:pt idx="0">
                  <c:v>0.75874415007978691</c:v>
                </c:pt>
                <c:pt idx="1">
                  <c:v>0.78650206214758034</c:v>
                </c:pt>
                <c:pt idx="2">
                  <c:v>0.79643424891593495</c:v>
                </c:pt>
                <c:pt idx="3">
                  <c:v>0.81115942441537736</c:v>
                </c:pt>
                <c:pt idx="4">
                  <c:v>0.83338169520599825</c:v>
                </c:pt>
                <c:pt idx="5">
                  <c:v>0.864685916665207</c:v>
                </c:pt>
                <c:pt idx="6">
                  <c:v>0.88512760145291114</c:v>
                </c:pt>
                <c:pt idx="7">
                  <c:v>0.91492235845051395</c:v>
                </c:pt>
              </c:numCache>
            </c:numRef>
          </c:val>
          <c:smooth val="0"/>
        </c:ser>
        <c:dLbls>
          <c:showLegendKey val="0"/>
          <c:showVal val="0"/>
          <c:showCatName val="0"/>
          <c:showSerName val="0"/>
          <c:showPercent val="0"/>
          <c:showBubbleSize val="0"/>
        </c:dLbls>
        <c:marker val="1"/>
        <c:smooth val="0"/>
        <c:axId val="884005104"/>
        <c:axId val="884009808"/>
      </c:lineChart>
      <c:catAx>
        <c:axId val="884009024"/>
        <c:scaling>
          <c:orientation val="minMax"/>
        </c:scaling>
        <c:delete val="0"/>
        <c:axPos val="b"/>
        <c:numFmt formatCode="General" sourceLinked="1"/>
        <c:majorTickMark val="none"/>
        <c:minorTickMark val="none"/>
        <c:tickLblPos val="nextTo"/>
        <c:txPr>
          <a:bodyPr/>
          <a:lstStyle/>
          <a:p>
            <a:pPr>
              <a:defRPr sz="2000"/>
            </a:pPr>
            <a:endParaRPr lang="es-ES"/>
          </a:p>
        </c:txPr>
        <c:crossAx val="884009416"/>
        <c:crosses val="autoZero"/>
        <c:auto val="1"/>
        <c:lblAlgn val="ctr"/>
        <c:lblOffset val="100"/>
        <c:noMultiLvlLbl val="0"/>
      </c:catAx>
      <c:valAx>
        <c:axId val="884009416"/>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884009024"/>
        <c:crosses val="autoZero"/>
        <c:crossBetween val="between"/>
        <c:majorUnit val="200000"/>
        <c:minorUnit val="40000"/>
        <c:dispUnits>
          <c:builtInUnit val="thousands"/>
          <c:dispUnitsLbl>
            <c:layout>
              <c:manualLayout>
                <c:xMode val="edge"/>
                <c:yMode val="edge"/>
                <c:x val="6.0458156095067536E-3"/>
                <c:y val="0.4634917459833533"/>
              </c:manualLayout>
            </c:layout>
            <c:txPr>
              <a:bodyPr/>
              <a:lstStyle/>
              <a:p>
                <a:pPr>
                  <a:defRPr sz="1800" b="0"/>
                </a:pPr>
                <a:endParaRPr lang="es-ES"/>
              </a:p>
            </c:txPr>
          </c:dispUnitsLbl>
        </c:dispUnits>
      </c:valAx>
      <c:valAx>
        <c:axId val="884009808"/>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884005104"/>
        <c:crosses val="max"/>
        <c:crossBetween val="between"/>
      </c:valAx>
      <c:catAx>
        <c:axId val="884005104"/>
        <c:scaling>
          <c:orientation val="minMax"/>
        </c:scaling>
        <c:delete val="1"/>
        <c:axPos val="b"/>
        <c:numFmt formatCode="General" sourceLinked="1"/>
        <c:majorTickMark val="out"/>
        <c:minorTickMark val="none"/>
        <c:tickLblPos val="nextTo"/>
        <c:crossAx val="884009808"/>
        <c:crosses val="autoZero"/>
        <c:auto val="1"/>
        <c:lblAlgn val="ctr"/>
        <c:lblOffset val="100"/>
        <c:noMultiLvlLbl val="0"/>
      </c:catAx>
    </c:plotArea>
    <c:legend>
      <c:legendPos val="b"/>
      <c:layout>
        <c:manualLayout>
          <c:xMode val="edge"/>
          <c:yMode val="edge"/>
          <c:x val="0.32935568095320866"/>
          <c:y val="0.12346404502115001"/>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0852737908104944"/>
          <c:y val="3.4259479852217126E-2"/>
        </c:manualLayout>
      </c:layout>
      <c:overlay val="0"/>
    </c:title>
    <c:autoTitleDeleted val="0"/>
    <c:plotArea>
      <c:layout>
        <c:manualLayout>
          <c:layoutTarget val="inner"/>
          <c:xMode val="edge"/>
          <c:yMode val="edge"/>
          <c:x val="1.3008818922937117E-2"/>
          <c:y val="0.11568970594206755"/>
          <c:w val="0.96778839158636276"/>
          <c:h val="0.76187262061310412"/>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9689</c:v>
                </c:pt>
                <c:pt idx="1">
                  <c:v>89619</c:v>
                </c:pt>
                <c:pt idx="2">
                  <c:v>116665</c:v>
                </c:pt>
                <c:pt idx="3">
                  <c:v>115683</c:v>
                </c:pt>
                <c:pt idx="4">
                  <c:v>108549</c:v>
                </c:pt>
                <c:pt idx="5">
                  <c:v>91852</c:v>
                </c:pt>
                <c:pt idx="6">
                  <c:v>78739</c:v>
                </c:pt>
                <c:pt idx="7">
                  <c:v>59728</c:v>
                </c:pt>
                <c:pt idx="8">
                  <c:v>40150</c:v>
                </c:pt>
                <c:pt idx="9">
                  <c:v>23640</c:v>
                </c:pt>
                <c:pt idx="10">
                  <c:v>11831</c:v>
                </c:pt>
                <c:pt idx="11">
                  <c:v>5334</c:v>
                </c:pt>
                <c:pt idx="12">
                  <c:v>2880</c:v>
                </c:pt>
                <c:pt idx="13">
                  <c:v>1385</c:v>
                </c:pt>
                <c:pt idx="14">
                  <c:v>879</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14054</c:v>
                </c:pt>
                <c:pt idx="1">
                  <c:v>121723</c:v>
                </c:pt>
                <c:pt idx="2">
                  <c:v>148742</c:v>
                </c:pt>
                <c:pt idx="3">
                  <c:v>137688</c:v>
                </c:pt>
                <c:pt idx="4">
                  <c:v>123875</c:v>
                </c:pt>
                <c:pt idx="5">
                  <c:v>104653</c:v>
                </c:pt>
                <c:pt idx="6">
                  <c:v>91028</c:v>
                </c:pt>
                <c:pt idx="7">
                  <c:v>73382</c:v>
                </c:pt>
                <c:pt idx="8">
                  <c:v>55127</c:v>
                </c:pt>
                <c:pt idx="9">
                  <c:v>36866</c:v>
                </c:pt>
                <c:pt idx="10">
                  <c:v>21512</c:v>
                </c:pt>
                <c:pt idx="11">
                  <c:v>10850</c:v>
                </c:pt>
                <c:pt idx="12">
                  <c:v>6021</c:v>
                </c:pt>
                <c:pt idx="13">
                  <c:v>2812</c:v>
                </c:pt>
                <c:pt idx="14">
                  <c:v>1828</c:v>
                </c:pt>
              </c:numCache>
            </c:numRef>
          </c:val>
        </c:ser>
        <c:ser>
          <c:idx val="6"/>
          <c:order val="6"/>
          <c:tx>
            <c:strRef>
              <c:f>'II.6.Empl xsexoy edad'!$H$4</c:f>
              <c:strCache>
                <c:ptCount val="1"/>
                <c:pt idx="0">
                  <c:v>Total</c:v>
                </c:pt>
              </c:strCache>
            </c:strRef>
          </c:tx>
          <c:spPr>
            <a:solidFill>
              <a:srgbClr val="FFC00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edad'!$H$5:$H$19</c:f>
              <c:numCache>
                <c:formatCode>_(* #,##0_);_(* \(#,##0\);_(* "-"??_);_(@_)</c:formatCode>
                <c:ptCount val="15"/>
                <c:pt idx="0">
                  <c:v>23743</c:v>
                </c:pt>
                <c:pt idx="1">
                  <c:v>211342</c:v>
                </c:pt>
                <c:pt idx="2">
                  <c:v>265407</c:v>
                </c:pt>
                <c:pt idx="3">
                  <c:v>253371</c:v>
                </c:pt>
                <c:pt idx="4">
                  <c:v>232424</c:v>
                </c:pt>
                <c:pt idx="5">
                  <c:v>196505</c:v>
                </c:pt>
                <c:pt idx="6">
                  <c:v>169767</c:v>
                </c:pt>
                <c:pt idx="7">
                  <c:v>133110</c:v>
                </c:pt>
                <c:pt idx="8">
                  <c:v>95277</c:v>
                </c:pt>
                <c:pt idx="9">
                  <c:v>60506</c:v>
                </c:pt>
                <c:pt idx="10">
                  <c:v>33343</c:v>
                </c:pt>
                <c:pt idx="11">
                  <c:v>16184</c:v>
                </c:pt>
                <c:pt idx="12">
                  <c:v>8901</c:v>
                </c:pt>
                <c:pt idx="13">
                  <c:v>4197</c:v>
                </c:pt>
                <c:pt idx="14">
                  <c:v>2707</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269820872"/>
        <c:axId val="269820480"/>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0.59192182959187967</c:v>
                </c:pt>
                <c:pt idx="1">
                  <c:v>0.5759527211817812</c:v>
                </c:pt>
                <c:pt idx="2">
                  <c:v>0.56042983041140593</c:v>
                </c:pt>
                <c:pt idx="3">
                  <c:v>0.54342446452040682</c:v>
                </c:pt>
                <c:pt idx="4">
                  <c:v>0.53296991704815333</c:v>
                </c:pt>
                <c:pt idx="5">
                  <c:v>0.53257169028777895</c:v>
                </c:pt>
                <c:pt idx="6">
                  <c:v>0.53619372433983048</c:v>
                </c:pt>
                <c:pt idx="7">
                  <c:v>0.55128840808353996</c:v>
                </c:pt>
                <c:pt idx="8">
                  <c:v>0.57859714306705712</c:v>
                </c:pt>
                <c:pt idx="9">
                  <c:v>0.60929494595577294</c:v>
                </c:pt>
                <c:pt idx="10">
                  <c:v>0.64517289985904092</c:v>
                </c:pt>
                <c:pt idx="11">
                  <c:v>0.67041522491349481</c:v>
                </c:pt>
                <c:pt idx="12">
                  <c:v>0.67644084934277049</c:v>
                </c:pt>
                <c:pt idx="13">
                  <c:v>0.67000238265427692</c:v>
                </c:pt>
                <c:pt idx="14">
                  <c:v>0.67528629479128188</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c:formatCode>
                <c:ptCount val="15"/>
                <c:pt idx="0">
                  <c:v>0.40807817040812028</c:v>
                </c:pt>
                <c:pt idx="1">
                  <c:v>0.4240472788182188</c:v>
                </c:pt>
                <c:pt idx="2">
                  <c:v>0.43957016958859413</c:v>
                </c:pt>
                <c:pt idx="3">
                  <c:v>0.45657553547959318</c:v>
                </c:pt>
                <c:pt idx="4">
                  <c:v>0.46703008295184661</c:v>
                </c:pt>
                <c:pt idx="5">
                  <c:v>0.46742830971222105</c:v>
                </c:pt>
                <c:pt idx="6">
                  <c:v>0.46380627566016952</c:v>
                </c:pt>
                <c:pt idx="7">
                  <c:v>0.4487115919164601</c:v>
                </c:pt>
                <c:pt idx="8">
                  <c:v>0.42140285693294288</c:v>
                </c:pt>
                <c:pt idx="9">
                  <c:v>0.39070505404422701</c:v>
                </c:pt>
                <c:pt idx="10">
                  <c:v>0.35482710014095914</c:v>
                </c:pt>
                <c:pt idx="11">
                  <c:v>0.32958477508650519</c:v>
                </c:pt>
                <c:pt idx="12">
                  <c:v>0.32355915065722951</c:v>
                </c:pt>
                <c:pt idx="13">
                  <c:v>0.32999761734572314</c:v>
                </c:pt>
                <c:pt idx="14">
                  <c:v>0.32471370520871812</c:v>
                </c:pt>
              </c:numCache>
            </c:numRef>
          </c:val>
          <c:smooth val="0"/>
        </c:ser>
        <c:dLbls>
          <c:showLegendKey val="0"/>
          <c:showVal val="0"/>
          <c:showCatName val="0"/>
          <c:showSerName val="0"/>
          <c:showPercent val="0"/>
          <c:showBubbleSize val="0"/>
        </c:dLbls>
        <c:marker val="1"/>
        <c:smooth val="0"/>
        <c:axId val="877120152"/>
        <c:axId val="269823616"/>
      </c:lineChart>
      <c:catAx>
        <c:axId val="269820872"/>
        <c:scaling>
          <c:orientation val="minMax"/>
        </c:scaling>
        <c:delete val="0"/>
        <c:axPos val="b"/>
        <c:numFmt formatCode="General" sourceLinked="0"/>
        <c:majorTickMark val="none"/>
        <c:minorTickMark val="none"/>
        <c:tickLblPos val="nextTo"/>
        <c:txPr>
          <a:bodyPr/>
          <a:lstStyle/>
          <a:p>
            <a:pPr>
              <a:defRPr sz="1800"/>
            </a:pPr>
            <a:endParaRPr lang="es-ES"/>
          </a:p>
        </c:txPr>
        <c:crossAx val="269820480"/>
        <c:crosses val="autoZero"/>
        <c:auto val="1"/>
        <c:lblAlgn val="ctr"/>
        <c:lblOffset val="100"/>
        <c:noMultiLvlLbl val="0"/>
      </c:catAx>
      <c:valAx>
        <c:axId val="269820480"/>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269820872"/>
        <c:crosses val="autoZero"/>
        <c:crossBetween val="between"/>
      </c:valAx>
      <c:valAx>
        <c:axId val="269823616"/>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877120152"/>
        <c:crosses val="max"/>
        <c:crossBetween val="between"/>
      </c:valAx>
      <c:catAx>
        <c:axId val="877120152"/>
        <c:scaling>
          <c:orientation val="minMax"/>
        </c:scaling>
        <c:delete val="1"/>
        <c:axPos val="b"/>
        <c:numFmt formatCode="General" sourceLinked="1"/>
        <c:majorTickMark val="out"/>
        <c:minorTickMark val="none"/>
        <c:tickLblPos val="nextTo"/>
        <c:crossAx val="269823616"/>
        <c:crosses val="autoZero"/>
        <c:auto val="1"/>
        <c:lblAlgn val="ctr"/>
        <c:lblOffset val="100"/>
        <c:noMultiLvlLbl val="0"/>
      </c:catAx>
    </c:plotArea>
    <c:legend>
      <c:legendPos val="t"/>
      <c:layout>
        <c:manualLayout>
          <c:xMode val="edge"/>
          <c:yMode val="edge"/>
          <c:x val="0.22379854288101586"/>
          <c:y val="9.7278891475111262E-2"/>
          <c:w val="0.55206720573265711"/>
          <c:h val="4.7789347786394626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2717121050417293"/>
          <c:y val="0.18947799323829556"/>
          <c:w val="0.81480748580675444"/>
          <c:h val="0.69776607036843197"/>
        </c:manualLayout>
      </c:layout>
      <c:barChart>
        <c:barDir val="bar"/>
        <c:grouping val="stacked"/>
        <c:varyColors val="0"/>
        <c:ser>
          <c:idx val="0"/>
          <c:order val="0"/>
          <c:tx>
            <c:strRef>
              <c:f>'III.6.4.Afil. SRL x sexoy edad'!$E$24</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17972908291607373"/>
                  <c:y val="-3.6708998702715003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21299811343586683"/>
                  <c:y val="-3.860905246912838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edad'!$C$25:$C$39</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edad'!$E$25:$E$39</c:f>
              <c:numCache>
                <c:formatCode>#,##0</c:formatCode>
                <c:ptCount val="15"/>
                <c:pt idx="0">
                  <c:v>14054</c:v>
                </c:pt>
                <c:pt idx="1">
                  <c:v>121723</c:v>
                </c:pt>
                <c:pt idx="2">
                  <c:v>148742</c:v>
                </c:pt>
                <c:pt idx="3">
                  <c:v>137688</c:v>
                </c:pt>
                <c:pt idx="4">
                  <c:v>123875</c:v>
                </c:pt>
                <c:pt idx="5">
                  <c:v>104653</c:v>
                </c:pt>
                <c:pt idx="6">
                  <c:v>91028</c:v>
                </c:pt>
                <c:pt idx="7">
                  <c:v>73382</c:v>
                </c:pt>
                <c:pt idx="8">
                  <c:v>55127</c:v>
                </c:pt>
                <c:pt idx="9">
                  <c:v>36866</c:v>
                </c:pt>
                <c:pt idx="10">
                  <c:v>21512</c:v>
                </c:pt>
                <c:pt idx="11">
                  <c:v>10850</c:v>
                </c:pt>
                <c:pt idx="12">
                  <c:v>6021</c:v>
                </c:pt>
                <c:pt idx="13">
                  <c:v>2812</c:v>
                </c:pt>
                <c:pt idx="14">
                  <c:v>1828</c:v>
                </c:pt>
              </c:numCache>
            </c:numRef>
          </c:val>
        </c:ser>
        <c:ser>
          <c:idx val="1"/>
          <c:order val="1"/>
          <c:tx>
            <c:strRef>
              <c:f>'III.6.4.Afil. SRL x sexoy edad'!$D$24</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18780794954938004"/>
                  <c:y val="-2.299966280155293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18664684801851439"/>
                  <c:y val="4.549255337189608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17785732600063747"/>
                  <c:y val="3.592138013569801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14890620450007466"/>
                  <c:y val="1.3926490738746551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0.13658704345042308"/>
                  <c:y val="1.9165735959972791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12246039313656301"/>
                  <c:y val="6.7907478983570834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9.2157351245577432E-2"/>
                  <c:y val="9.3427359073465343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6.5075923153153553E-2"/>
                  <c:y val="3.1542673145554278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0945193879035754E-2"/>
                  <c:y val="1.6767338919523075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1"/>
              <c:layout>
                <c:manualLayout>
                  <c:x val="-4.3257755935795381E-2"/>
                  <c:y val="3.833049735796246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2"/>
              <c:layout>
                <c:manualLayout>
                  <c:x val="-3.8409274331938012E-2"/>
                  <c:y val="4.391961033113667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3"/>
              <c:layout>
                <c:manualLayout>
                  <c:x val="-3.395543213301648E-2"/>
                  <c:y val="4.391961033113667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edad'!$C$25:$C$39</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edad'!$D$25:$D$39</c:f>
              <c:numCache>
                <c:formatCode>General</c:formatCode>
                <c:ptCount val="15"/>
                <c:pt idx="0">
                  <c:v>-9689</c:v>
                </c:pt>
                <c:pt idx="1">
                  <c:v>-89619</c:v>
                </c:pt>
                <c:pt idx="2">
                  <c:v>-116665</c:v>
                </c:pt>
                <c:pt idx="3">
                  <c:v>-115683</c:v>
                </c:pt>
                <c:pt idx="4">
                  <c:v>-108549</c:v>
                </c:pt>
                <c:pt idx="5">
                  <c:v>-91852</c:v>
                </c:pt>
                <c:pt idx="6">
                  <c:v>-78739</c:v>
                </c:pt>
                <c:pt idx="7">
                  <c:v>-59728</c:v>
                </c:pt>
                <c:pt idx="8">
                  <c:v>-40150</c:v>
                </c:pt>
                <c:pt idx="9">
                  <c:v>-23640</c:v>
                </c:pt>
                <c:pt idx="10">
                  <c:v>-11831</c:v>
                </c:pt>
                <c:pt idx="11">
                  <c:v>-5334</c:v>
                </c:pt>
                <c:pt idx="12">
                  <c:v>-2880</c:v>
                </c:pt>
                <c:pt idx="13">
                  <c:v>-1385</c:v>
                </c:pt>
                <c:pt idx="14">
                  <c:v>-879</c:v>
                </c:pt>
              </c:numCache>
            </c:numRef>
          </c:val>
        </c:ser>
        <c:dLbls>
          <c:showLegendKey val="0"/>
          <c:showVal val="0"/>
          <c:showCatName val="0"/>
          <c:showSerName val="0"/>
          <c:showPercent val="0"/>
          <c:showBubbleSize val="0"/>
        </c:dLbls>
        <c:gapWidth val="9"/>
        <c:overlap val="100"/>
        <c:axId val="884010592"/>
        <c:axId val="884010984"/>
      </c:barChart>
      <c:catAx>
        <c:axId val="884010592"/>
        <c:scaling>
          <c:orientation val="minMax"/>
        </c:scaling>
        <c:delete val="0"/>
        <c:axPos val="l"/>
        <c:numFmt formatCode="General" sourceLinked="1"/>
        <c:majorTickMark val="none"/>
        <c:minorTickMark val="none"/>
        <c:tickLblPos val="low"/>
        <c:txPr>
          <a:bodyPr/>
          <a:lstStyle/>
          <a:p>
            <a:pPr>
              <a:defRPr sz="1200"/>
            </a:pPr>
            <a:endParaRPr lang="es-ES"/>
          </a:p>
        </c:txPr>
        <c:crossAx val="884010984"/>
        <c:crosses val="autoZero"/>
        <c:auto val="1"/>
        <c:lblAlgn val="ctr"/>
        <c:lblOffset val="100"/>
        <c:noMultiLvlLbl val="0"/>
      </c:catAx>
      <c:valAx>
        <c:axId val="884010984"/>
        <c:scaling>
          <c:orientation val="minMax"/>
        </c:scaling>
        <c:delete val="0"/>
        <c:axPos val="b"/>
        <c:numFmt formatCode="#,##0" sourceLinked="1"/>
        <c:majorTickMark val="none"/>
        <c:minorTickMark val="none"/>
        <c:tickLblPos val="nextTo"/>
        <c:txPr>
          <a:bodyPr/>
          <a:lstStyle/>
          <a:p>
            <a:pPr>
              <a:defRPr sz="1400"/>
            </a:pPr>
            <a:endParaRPr lang="es-ES"/>
          </a:p>
        </c:txPr>
        <c:crossAx val="884010592"/>
        <c:crosses val="autoZero"/>
        <c:crossBetween val="between"/>
      </c:valAx>
    </c:plotArea>
    <c:legend>
      <c:legendPos val="t"/>
      <c:layout>
        <c:manualLayout>
          <c:xMode val="edge"/>
          <c:yMode val="edge"/>
          <c:x val="0.29115203755880859"/>
          <c:y val="0.10353470826010497"/>
          <c:w val="0.39356950640693122"/>
          <c:h val="3.719421308525749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294681516700791E-3"/>
          <c:y val="0.22095383050782835"/>
          <c:w val="0.98502987709651424"/>
          <c:h val="0.55964006635722252"/>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'III.6.5.Afil. ARL x riesgo'!$B$5:$B$17</c:f>
              <c:numCache>
                <c:formatCode>#,##0</c:formatCode>
                <c:ptCount val="13"/>
                <c:pt idx="0">
                  <c:v>275990</c:v>
                </c:pt>
                <c:pt idx="1">
                  <c:v>274624</c:v>
                </c:pt>
                <c:pt idx="2">
                  <c:v>277391</c:v>
                </c:pt>
                <c:pt idx="3">
                  <c:v>276510</c:v>
                </c:pt>
                <c:pt idx="4">
                  <c:v>280712</c:v>
                </c:pt>
                <c:pt idx="5">
                  <c:v>280852</c:v>
                </c:pt>
                <c:pt idx="6">
                  <c:v>285703</c:v>
                </c:pt>
                <c:pt idx="7">
                  <c:v>284184</c:v>
                </c:pt>
                <c:pt idx="8">
                  <c:v>288078</c:v>
                </c:pt>
                <c:pt idx="9">
                  <c:v>292468</c:v>
                </c:pt>
                <c:pt idx="10">
                  <c:v>300150</c:v>
                </c:pt>
                <c:pt idx="11">
                  <c:v>302993</c:v>
                </c:pt>
                <c:pt idx="12">
                  <c:v>306000</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'III.6.5.Afil. ARL x riesgo'!$C$5:$C$17</c:f>
              <c:numCache>
                <c:formatCode>#,##0</c:formatCode>
                <c:ptCount val="13"/>
                <c:pt idx="0">
                  <c:v>577128</c:v>
                </c:pt>
                <c:pt idx="1">
                  <c:v>582358</c:v>
                </c:pt>
                <c:pt idx="2">
                  <c:v>585908</c:v>
                </c:pt>
                <c:pt idx="3">
                  <c:v>594455</c:v>
                </c:pt>
                <c:pt idx="4">
                  <c:v>608568</c:v>
                </c:pt>
                <c:pt idx="5">
                  <c:v>618171</c:v>
                </c:pt>
                <c:pt idx="6">
                  <c:v>624371</c:v>
                </c:pt>
                <c:pt idx="7">
                  <c:v>624657</c:v>
                </c:pt>
                <c:pt idx="8">
                  <c:v>627166</c:v>
                </c:pt>
                <c:pt idx="9">
                  <c:v>632767</c:v>
                </c:pt>
                <c:pt idx="10">
                  <c:v>636688</c:v>
                </c:pt>
                <c:pt idx="11">
                  <c:v>640576</c:v>
                </c:pt>
                <c:pt idx="12">
                  <c:v>639537</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'III.6.5.Afil. ARL x riesgo'!$D$5:$D$17</c:f>
              <c:numCache>
                <c:formatCode>#,##0</c:formatCode>
                <c:ptCount val="13"/>
                <c:pt idx="0">
                  <c:v>383655</c:v>
                </c:pt>
                <c:pt idx="1">
                  <c:v>387019</c:v>
                </c:pt>
                <c:pt idx="2">
                  <c:v>387179</c:v>
                </c:pt>
                <c:pt idx="3">
                  <c:v>389664</c:v>
                </c:pt>
                <c:pt idx="4">
                  <c:v>391615</c:v>
                </c:pt>
                <c:pt idx="5">
                  <c:v>393074</c:v>
                </c:pt>
                <c:pt idx="6">
                  <c:v>391447</c:v>
                </c:pt>
                <c:pt idx="7">
                  <c:v>393280</c:v>
                </c:pt>
                <c:pt idx="8">
                  <c:v>394796</c:v>
                </c:pt>
                <c:pt idx="9">
                  <c:v>397528</c:v>
                </c:pt>
                <c:pt idx="10">
                  <c:v>401347</c:v>
                </c:pt>
                <c:pt idx="11">
                  <c:v>403268</c:v>
                </c:pt>
                <c:pt idx="12">
                  <c:v>402370</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'III.6.5.Afil. ARL x riesgo'!$E$5:$E$17</c:f>
              <c:numCache>
                <c:formatCode>#,##0</c:formatCode>
                <c:ptCount val="13"/>
                <c:pt idx="0">
                  <c:v>343083</c:v>
                </c:pt>
                <c:pt idx="1">
                  <c:v>346118</c:v>
                </c:pt>
                <c:pt idx="2">
                  <c:v>346360</c:v>
                </c:pt>
                <c:pt idx="3">
                  <c:v>345247</c:v>
                </c:pt>
                <c:pt idx="4">
                  <c:v>346177</c:v>
                </c:pt>
                <c:pt idx="5">
                  <c:v>349307</c:v>
                </c:pt>
                <c:pt idx="6">
                  <c:v>349681</c:v>
                </c:pt>
                <c:pt idx="7">
                  <c:v>352363</c:v>
                </c:pt>
                <c:pt idx="8">
                  <c:v>351430</c:v>
                </c:pt>
                <c:pt idx="9">
                  <c:v>353984</c:v>
                </c:pt>
                <c:pt idx="10">
                  <c:v>359903</c:v>
                </c:pt>
                <c:pt idx="11">
                  <c:v>359446</c:v>
                </c:pt>
                <c:pt idx="12">
                  <c:v>358877</c:v>
                </c:pt>
              </c:numCache>
            </c:numRef>
          </c:val>
        </c:ser>
        <c:dLbls>
          <c:showLegendKey val="0"/>
          <c:showVal val="0"/>
          <c:showCatName val="0"/>
          <c:showSerName val="0"/>
          <c:showPercent val="0"/>
          <c:showBubbleSize val="0"/>
        </c:dLbls>
        <c:gapWidth val="15"/>
        <c:shape val="cylinder"/>
        <c:axId val="884018040"/>
        <c:axId val="884018824"/>
        <c:axId val="0"/>
      </c:bar3DChart>
      <c:catAx>
        <c:axId val="884018040"/>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884018824"/>
        <c:crosses val="autoZero"/>
        <c:auto val="1"/>
        <c:lblAlgn val="ctr"/>
        <c:lblOffset val="100"/>
        <c:noMultiLvlLbl val="1"/>
      </c:catAx>
      <c:valAx>
        <c:axId val="884018824"/>
        <c:scaling>
          <c:orientation val="minMax"/>
        </c:scaling>
        <c:delete val="1"/>
        <c:axPos val="l"/>
        <c:numFmt formatCode="#,##0" sourceLinked="1"/>
        <c:majorTickMark val="out"/>
        <c:minorTickMark val="none"/>
        <c:tickLblPos val="nextTo"/>
        <c:crossAx val="884018040"/>
        <c:crosses val="autoZero"/>
        <c:crossBetween val="between"/>
      </c:valAx>
      <c:spPr>
        <a:noFill/>
        <a:ln w="25400">
          <a:noFill/>
        </a:ln>
      </c:spPr>
    </c:plotArea>
    <c:legend>
      <c:legendPos val="b"/>
      <c:layout>
        <c:manualLayout>
          <c:xMode val="edge"/>
          <c:yMode val="edge"/>
          <c:x val="0.16351772217787755"/>
          <c:y val="8.8268809466941642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4185870790380468"/>
          <c:y val="3.3106563510901528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8.2365056937195257E-4"/>
          <c:y val="0.17120342669915331"/>
          <c:w val="0.96731674268658352"/>
          <c:h val="0.70487716821994151"/>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Accidentabilidad'!$A$4:$A$14</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'III.6.6.ID. Accidentabilidad'!$D$4:$D$14</c:f>
              <c:numCache>
                <c:formatCode>_(* #,##0.0_);_(* \(#,##0.0\);_(* "-"??_);_(@_)</c:formatCode>
                <c:ptCount val="11"/>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970.18720587959581</c:v>
                </c:pt>
              </c:numCache>
            </c:numRef>
          </c:val>
        </c:ser>
        <c:dLbls>
          <c:showLegendKey val="0"/>
          <c:showVal val="0"/>
          <c:showCatName val="0"/>
          <c:showSerName val="0"/>
          <c:showPercent val="0"/>
          <c:showBubbleSize val="0"/>
        </c:dLbls>
        <c:gapWidth val="35"/>
        <c:gapDepth val="186"/>
        <c:shape val="cylinder"/>
        <c:axId val="884012160"/>
        <c:axId val="884015688"/>
        <c:axId val="0"/>
      </c:bar3DChart>
      <c:catAx>
        <c:axId val="884012160"/>
        <c:scaling>
          <c:orientation val="minMax"/>
        </c:scaling>
        <c:delete val="0"/>
        <c:axPos val="b"/>
        <c:numFmt formatCode="General" sourceLinked="1"/>
        <c:majorTickMark val="none"/>
        <c:minorTickMark val="none"/>
        <c:tickLblPos val="nextTo"/>
        <c:txPr>
          <a:bodyPr/>
          <a:lstStyle/>
          <a:p>
            <a:pPr>
              <a:defRPr sz="1600"/>
            </a:pPr>
            <a:endParaRPr lang="es-ES"/>
          </a:p>
        </c:txPr>
        <c:crossAx val="884015688"/>
        <c:crosses val="autoZero"/>
        <c:auto val="1"/>
        <c:lblAlgn val="ctr"/>
        <c:lblOffset val="100"/>
        <c:noMultiLvlLbl val="0"/>
      </c:catAx>
      <c:valAx>
        <c:axId val="884015688"/>
        <c:scaling>
          <c:orientation val="minMax"/>
        </c:scaling>
        <c:delete val="1"/>
        <c:axPos val="l"/>
        <c:numFmt formatCode="_(* #,##0.0_);_(* \(#,##0.0\);_(* &quot;-&quot;??_);_(@_)" sourceLinked="1"/>
        <c:majorTickMark val="out"/>
        <c:minorTickMark val="none"/>
        <c:tickLblPos val="nextTo"/>
        <c:crossAx val="88401216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7228776479728708E-2"/>
          <c:y val="0.19522132750169111"/>
          <c:w val="0.95776876226934804"/>
          <c:h val="0.6319635460585448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Jun.2015</c:v>
                </c:pt>
              </c:strCache>
            </c:strRef>
          </c:cat>
          <c:val>
            <c:numRef>
              <c:f>'IV.1.3. Ingr y egr SDSS'!$G$5:$G$17</c:f>
              <c:numCache>
                <c:formatCode>#,##0.00_);[Red]\(#,##0.00\)</c:formatCode>
                <c:ptCount val="13"/>
                <c:pt idx="0">
                  <c:v>1889323722.0100002</c:v>
                </c:pt>
                <c:pt idx="1">
                  <c:v>7520461044.0100002</c:v>
                </c:pt>
                <c:pt idx="2">
                  <c:v>10262783294.169996</c:v>
                </c:pt>
                <c:pt idx="3">
                  <c:v>11796610414.139999</c:v>
                </c:pt>
                <c:pt idx="4">
                  <c:v>22894223560.149998</c:v>
                </c:pt>
                <c:pt idx="5">
                  <c:v>35711509302.380005</c:v>
                </c:pt>
                <c:pt idx="6">
                  <c:v>41868654406.75</c:v>
                </c:pt>
                <c:pt idx="7">
                  <c:v>48034143120.889999</c:v>
                </c:pt>
                <c:pt idx="8">
                  <c:v>54550792906.099991</c:v>
                </c:pt>
                <c:pt idx="9">
                  <c:v>60742865824.650002</c:v>
                </c:pt>
                <c:pt idx="10">
                  <c:v>67708185664.850006</c:v>
                </c:pt>
                <c:pt idx="11">
                  <c:v>77623881443.050003</c:v>
                </c:pt>
                <c:pt idx="12">
                  <c:v>41396398994.949997</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Jun.2015</c:v>
                </c:pt>
              </c:strCache>
            </c:strRef>
          </c:cat>
          <c:val>
            <c:numRef>
              <c:f>'IV.1.3. Ingr y egr SDSS'!$K$5:$K$17</c:f>
              <c:numCache>
                <c:formatCode>#,##0.00_);[Red]\(#,##0.00\)</c:formatCode>
                <c:ptCount val="13"/>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54342847242.210014</c:v>
                </c:pt>
                <c:pt idx="9">
                  <c:v>61089518822.399994</c:v>
                </c:pt>
                <c:pt idx="10">
                  <c:v>67697663532.259995</c:v>
                </c:pt>
                <c:pt idx="11">
                  <c:v>77919978415.960007</c:v>
                </c:pt>
                <c:pt idx="12">
                  <c:v>41045359660.469994</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Jun.2015</c:v>
                </c:pt>
              </c:strCache>
            </c:strRef>
          </c:cat>
          <c:val>
            <c:numRef>
              <c:f>'IV.1.3. Ingr y egr SDSS'!$M$5:$M$17</c:f>
              <c:numCache>
                <c:formatCode>#,##0.00_);[Red]\(#,##0.00\)</c:formatCode>
                <c:ptCount val="13"/>
                <c:pt idx="0">
                  <c:v>24957429.700000286</c:v>
                </c:pt>
                <c:pt idx="1">
                  <c:v>108675359.56000137</c:v>
                </c:pt>
                <c:pt idx="2">
                  <c:v>409216513.825037</c:v>
                </c:pt>
                <c:pt idx="3">
                  <c:v>-12263524.280000687</c:v>
                </c:pt>
                <c:pt idx="4">
                  <c:v>1865922485.3909988</c:v>
                </c:pt>
                <c:pt idx="5">
                  <c:v>2770130395.6500015</c:v>
                </c:pt>
                <c:pt idx="6">
                  <c:v>2647352151.6500015</c:v>
                </c:pt>
                <c:pt idx="7">
                  <c:v>-2685282019.5499878</c:v>
                </c:pt>
                <c:pt idx="8">
                  <c:v>207945663.8899765</c:v>
                </c:pt>
                <c:pt idx="9">
                  <c:v>-346652997.74999237</c:v>
                </c:pt>
                <c:pt idx="10">
                  <c:v>10522132.590011597</c:v>
                </c:pt>
                <c:pt idx="11">
                  <c:v>-296096972.91000366</c:v>
                </c:pt>
                <c:pt idx="12">
                  <c:v>351039334.48000336</c:v>
                </c:pt>
              </c:numCache>
            </c:numRef>
          </c:val>
        </c:ser>
        <c:dLbls>
          <c:showLegendKey val="0"/>
          <c:showVal val="0"/>
          <c:showCatName val="0"/>
          <c:showSerName val="0"/>
          <c:showPercent val="0"/>
          <c:showBubbleSize val="0"/>
        </c:dLbls>
        <c:gapWidth val="39"/>
        <c:axId val="293533496"/>
        <c:axId val="293529968"/>
      </c:barChart>
      <c:catAx>
        <c:axId val="293533496"/>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293529968"/>
        <c:crosses val="autoZero"/>
        <c:auto val="1"/>
        <c:lblAlgn val="ctr"/>
        <c:lblOffset val="100"/>
        <c:noMultiLvlLbl val="0"/>
      </c:catAx>
      <c:valAx>
        <c:axId val="293529968"/>
        <c:scaling>
          <c:orientation val="minMax"/>
        </c:scaling>
        <c:delete val="0"/>
        <c:axPos val="l"/>
        <c:numFmt formatCode="#,##0.00_);[Red]\(#,##0.00\)" sourceLinked="1"/>
        <c:majorTickMark val="none"/>
        <c:minorTickMark val="none"/>
        <c:tickLblPos val="none"/>
        <c:spPr>
          <a:ln>
            <a:solidFill>
              <a:schemeClr val="bg1"/>
            </a:solidFill>
          </a:ln>
        </c:spPr>
        <c:crossAx val="29353349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123369298275798"/>
          <c:y val="8.0100535686171634E-2"/>
          <c:w val="0.52947389261897937"/>
          <c:h val="4.1468220777699086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80979133906713E-2"/>
          <c:y val="0.11151154258217984"/>
          <c:w val="0.93214189368209532"/>
          <c:h val="0.76113474046176055"/>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Jun.2015</c:v>
                </c:pt>
              </c:strCache>
            </c:strRef>
          </c:cat>
          <c:val>
            <c:numRef>
              <c:f>'IV.1.4. Recaudo x sector'!$B$4:$B$16</c:f>
              <c:numCache>
                <c:formatCode>_(* #,##0.00_);_(* \(#,##0.00\);_(* "-"??_);_(@_)</c:formatCode>
                <c:ptCount val="13"/>
                <c:pt idx="0">
                  <c:v>211522228.03</c:v>
                </c:pt>
                <c:pt idx="1">
                  <c:v>2104921284.339</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14162628886.940001</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Jun.2015</c:v>
                </c:pt>
              </c:strCache>
            </c:strRef>
          </c:cat>
          <c:val>
            <c:numRef>
              <c:f>'IV.1.4. Recaudo x sector'!$C$4:$C$16</c:f>
              <c:numCache>
                <c:formatCode>_(* #,##0.00_);_(* \(#,##0.00\);_(* "-"??_);_(@_)</c:formatCode>
                <c:ptCount val="13"/>
                <c:pt idx="0">
                  <c:v>1627801493.98</c:v>
                </c:pt>
                <c:pt idx="1">
                  <c:v>5315526427.3509998</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23663456613.709999</c:v>
                </c:pt>
              </c:numCache>
            </c:numRef>
          </c:val>
        </c:ser>
        <c:dLbls>
          <c:showLegendKey val="0"/>
          <c:showVal val="0"/>
          <c:showCatName val="0"/>
          <c:showSerName val="0"/>
          <c:showPercent val="0"/>
          <c:showBubbleSize val="0"/>
        </c:dLbls>
        <c:gapWidth val="42"/>
        <c:overlap val="82"/>
        <c:axId val="293530752"/>
        <c:axId val="293531144"/>
      </c:barChart>
      <c:catAx>
        <c:axId val="293530752"/>
        <c:scaling>
          <c:orientation val="minMax"/>
        </c:scaling>
        <c:delete val="0"/>
        <c:axPos val="b"/>
        <c:numFmt formatCode="General" sourceLinked="1"/>
        <c:majorTickMark val="out"/>
        <c:minorTickMark val="none"/>
        <c:tickLblPos val="nextTo"/>
        <c:txPr>
          <a:bodyPr/>
          <a:lstStyle/>
          <a:p>
            <a:pPr>
              <a:defRPr sz="1100"/>
            </a:pPr>
            <a:endParaRPr lang="es-ES"/>
          </a:p>
        </c:txPr>
        <c:crossAx val="293531144"/>
        <c:crosses val="autoZero"/>
        <c:auto val="1"/>
        <c:lblAlgn val="ctr"/>
        <c:lblOffset val="100"/>
        <c:noMultiLvlLbl val="0"/>
      </c:catAx>
      <c:valAx>
        <c:axId val="29353114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293530752"/>
        <c:crosses val="autoZero"/>
        <c:crossBetween val="between"/>
        <c:dispUnits>
          <c:builtInUnit val="billions"/>
          <c:dispUnitsLbl>
            <c:layout>
              <c:manualLayout>
                <c:xMode val="edge"/>
                <c:yMode val="edge"/>
                <c:x val="2.5214255761906491E-2"/>
                <c:y val="0.33296905909968"/>
              </c:manualLayout>
            </c:layout>
            <c:txPr>
              <a:bodyPr/>
              <a:lstStyle/>
              <a:p>
                <a:pPr>
                  <a:defRPr sz="1100" b="1"/>
                </a:pPr>
                <a:endParaRPr lang="es-ES"/>
              </a:p>
            </c:txPr>
          </c:dispUnitsLbl>
        </c:dispUnits>
      </c:valAx>
    </c:plotArea>
    <c:legend>
      <c:legendPos val="r"/>
      <c:layout>
        <c:manualLayout>
          <c:xMode val="edge"/>
          <c:yMode val="edge"/>
          <c:x val="0.31770088552015108"/>
          <c:y val="9.8437034663981002E-2"/>
          <c:w val="0.42926758418570254"/>
          <c:h val="5.8515971529759646E-2"/>
        </c:manualLayout>
      </c:layout>
      <c:overlay val="0"/>
      <c:txPr>
        <a:bodyPr/>
        <a:lstStyle/>
        <a:p>
          <a:pPr>
            <a:defRPr sz="12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2.1589746392934852E-4"/>
          <c:y val="0.19858425741312727"/>
          <c:w val="0.98101982478003957"/>
          <c:h val="0.69004553801842017"/>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Jun.2015</c:v>
                </c:pt>
              </c:strCache>
            </c:strRef>
          </c:cat>
          <c:val>
            <c:numRef>
              <c:f>'IV.1.5 Rec. x origen'!$B$4:$B$16</c:f>
              <c:numCache>
                <c:formatCode>_(* #,##0.00_);_(* \(#,##0.00\);_(* "-"??_);_(@_)</c:formatCode>
                <c:ptCount val="13"/>
                <c:pt idx="0">
                  <c:v>63456668.409345008</c:v>
                </c:pt>
                <c:pt idx="1">
                  <c:v>547279533.92999995</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4036349232.7778997</c:v>
                </c:pt>
              </c:numCache>
            </c:numRef>
          </c:val>
        </c:ser>
        <c:ser>
          <c:idx val="1"/>
          <c:order val="1"/>
          <c:tx>
            <c:strRef>
              <c:f>'IV.1.5 Rec. x origen'!$C$3</c:f>
              <c:strCache>
                <c:ptCount val="1"/>
                <c:pt idx="0">
                  <c:v>Trabajador Sector Privado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Jun.2015</c:v>
                </c:pt>
              </c:strCache>
            </c:strRef>
          </c:cat>
          <c:val>
            <c:numRef>
              <c:f>'IV.1.5 Rec. x origen'!$C$4:$C$16</c:f>
              <c:numCache>
                <c:formatCode>_(* #,##0.00_);_(* \(#,##0.00\);_(* "-"??_);_(@_)</c:formatCode>
                <c:ptCount val="13"/>
                <c:pt idx="0">
                  <c:v>488340448.19365501</c:v>
                </c:pt>
                <c:pt idx="1">
                  <c:v>1382036871.1099999</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6744085134.9073496</c:v>
                </c:pt>
              </c:numCache>
            </c:numRef>
          </c:val>
        </c:ser>
        <c:ser>
          <c:idx val="2"/>
          <c:order val="2"/>
          <c:tx>
            <c:strRef>
              <c:f>'IV.1.5 Rec. x origen'!$D$3</c:f>
              <c:strCache>
                <c:ptCount val="1"/>
                <c:pt idx="0">
                  <c:v> Empleador Sector Público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Jun.2015</c:v>
                </c:pt>
              </c:strCache>
            </c:strRef>
          </c:cat>
          <c:val>
            <c:numRef>
              <c:f>'IV.1.5 Rec. x origen'!$D$4:$D$16</c:f>
              <c:numCache>
                <c:formatCode>_(* #,##0.00_);_(* \(#,##0.00\);_(* "-"??_);_(@_)</c:formatCode>
                <c:ptCount val="13"/>
                <c:pt idx="0">
                  <c:v>148065559.62180501</c:v>
                </c:pt>
                <c:pt idx="1">
                  <c:v>1557641750.4100001</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10126279654.1621</c:v>
                </c:pt>
              </c:numCache>
            </c:numRef>
          </c:val>
        </c:ser>
        <c:ser>
          <c:idx val="3"/>
          <c:order val="3"/>
          <c:tx>
            <c:strRef>
              <c:f>'IV.1.5 Rec. x origen'!$E$3</c:f>
              <c:strCache>
                <c:ptCount val="1"/>
                <c:pt idx="0">
                  <c:v>Empleador  Sector Privado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Jun.2015</c:v>
                </c:pt>
              </c:strCache>
            </c:strRef>
          </c:cat>
          <c:val>
            <c:numRef>
              <c:f>'IV.1.5 Rec. x origen'!$E$4:$E$16</c:f>
              <c:numCache>
                <c:formatCode>_(* #,##0.00_);_(* \(#,##0.00\);_(* "-"??_);_(@_)</c:formatCode>
                <c:ptCount val="13"/>
                <c:pt idx="0">
                  <c:v>1139461045.7851951</c:v>
                </c:pt>
                <c:pt idx="1">
                  <c:v>3933489556.2399998</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16919371478.802649</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Jun.2015</c:v>
                </c:pt>
              </c:strCache>
            </c:strRef>
          </c:cat>
          <c:val>
            <c:numRef>
              <c:f>'IV.1.5 Rec. x origen'!$F$4:$F$16</c:f>
              <c:numCache>
                <c:formatCode>_(* #,##0.00_);_(* \(#,##0.00\);_(* "-"??_);_(@_)</c:formatCode>
                <c:ptCount val="13"/>
                <c:pt idx="0">
                  <c:v>1839323722.0100002</c:v>
                </c:pt>
                <c:pt idx="1">
                  <c:v>7420447711.6899996</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37826085500.650002</c:v>
                </c:pt>
              </c:numCache>
            </c:numRef>
          </c:val>
        </c:ser>
        <c:dLbls>
          <c:showLegendKey val="0"/>
          <c:showVal val="0"/>
          <c:showCatName val="0"/>
          <c:showSerName val="0"/>
          <c:showPercent val="0"/>
          <c:showBubbleSize val="0"/>
        </c:dLbls>
        <c:gapWidth val="75"/>
        <c:shape val="cylinder"/>
        <c:axId val="293531928"/>
        <c:axId val="293518600"/>
        <c:axId val="887725584"/>
      </c:bar3DChart>
      <c:catAx>
        <c:axId val="293531928"/>
        <c:scaling>
          <c:orientation val="minMax"/>
        </c:scaling>
        <c:delete val="0"/>
        <c:axPos val="b"/>
        <c:numFmt formatCode="General" sourceLinked="1"/>
        <c:majorTickMark val="none"/>
        <c:minorTickMark val="none"/>
        <c:tickLblPos val="nextTo"/>
        <c:txPr>
          <a:bodyPr/>
          <a:lstStyle/>
          <a:p>
            <a:pPr>
              <a:defRPr sz="1200"/>
            </a:pPr>
            <a:endParaRPr lang="es-ES"/>
          </a:p>
        </c:txPr>
        <c:crossAx val="293518600"/>
        <c:crosses val="autoZero"/>
        <c:auto val="1"/>
        <c:lblAlgn val="ctr"/>
        <c:lblOffset val="600"/>
        <c:tickLblSkip val="1"/>
        <c:noMultiLvlLbl val="0"/>
      </c:catAx>
      <c:valAx>
        <c:axId val="293518600"/>
        <c:scaling>
          <c:orientation val="minMax"/>
        </c:scaling>
        <c:delete val="1"/>
        <c:axPos val="l"/>
        <c:numFmt formatCode="_(* #,##0.00_);_(* \(#,##0.00\);_(* &quot;-&quot;??_);_(@_)" sourceLinked="1"/>
        <c:majorTickMark val="none"/>
        <c:minorTickMark val="none"/>
        <c:tickLblPos val="nextTo"/>
        <c:crossAx val="293531928"/>
        <c:crosses val="autoZero"/>
        <c:crossBetween val="between"/>
        <c:dispUnits>
          <c:builtInUnit val="billions"/>
          <c:dispUnitsLbl/>
        </c:dispUnits>
      </c:valAx>
      <c:serAx>
        <c:axId val="887725584"/>
        <c:scaling>
          <c:orientation val="minMax"/>
        </c:scaling>
        <c:delete val="1"/>
        <c:axPos val="b"/>
        <c:majorTickMark val="out"/>
        <c:minorTickMark val="none"/>
        <c:tickLblPos val="nextTo"/>
        <c:crossAx val="293518600"/>
        <c:crosses val="autoZero"/>
      </c:serAx>
    </c:plotArea>
    <c:legend>
      <c:legendPos val="l"/>
      <c:layout>
        <c:manualLayout>
          <c:xMode val="edge"/>
          <c:yMode val="edge"/>
          <c:x val="0.12939952990482537"/>
          <c:y val="7.4779060538250272E-2"/>
          <c:w val="0.71704162786103354"/>
          <c:h val="5.6433711147833153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6250190707566117E-3"/>
          <c:y val="0.25662245058621863"/>
          <c:w val="0.95952654768098822"/>
          <c:h val="0.48952342340704313"/>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'IV.1.6 Aport.Gob.SS'!$B$5:$B$15</c:f>
              <c:numCache>
                <c:formatCode>_(* #,##0.00_);_(* \(#,##0.00\);_(* "-"??_);_(@_)</c:formatCode>
                <c:ptCount val="11"/>
                <c:pt idx="4">
                  <c:v>178872817.62</c:v>
                </c:pt>
                <c:pt idx="5">
                  <c:v>95767339.469999999</c:v>
                </c:pt>
                <c:pt idx="6">
                  <c:v>320281085.42000002</c:v>
                </c:pt>
                <c:pt idx="7">
                  <c:v>349151178.95999998</c:v>
                </c:pt>
                <c:pt idx="8">
                  <c:v>362641633.79000002</c:v>
                </c:pt>
                <c:pt idx="9">
                  <c:v>355808488.19</c:v>
                </c:pt>
                <c:pt idx="10">
                  <c:v>177671368.11999997</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'IV.1.6 Aport.Gob.SS'!$C$5:$C$15</c:f>
              <c:numCache>
                <c:formatCode>_(* #,##0.00_);_(* \(#,##0.00\);_(* "-"??_);_(@_)</c:formatCode>
                <c:ptCount val="11"/>
                <c:pt idx="0">
                  <c:v>0</c:v>
                </c:pt>
                <c:pt idx="1">
                  <c:v>0</c:v>
                </c:pt>
                <c:pt idx="2">
                  <c:v>125000000</c:v>
                </c:pt>
                <c:pt idx="3">
                  <c:v>256250000</c:v>
                </c:pt>
                <c:pt idx="4">
                  <c:v>18750000</c:v>
                </c:pt>
                <c:pt idx="5">
                  <c:v>0</c:v>
                </c:pt>
                <c:pt idx="6">
                  <c:v>0</c:v>
                </c:pt>
                <c:pt idx="7">
                  <c:v>0</c:v>
                </c:pt>
                <c:pt idx="8">
                  <c:v>0</c:v>
                </c:pt>
                <c:pt idx="9">
                  <c:v>0</c:v>
                </c:pt>
                <c:pt idx="10">
                  <c:v>0</c:v>
                </c:pt>
              </c:numCache>
            </c:numRef>
          </c:val>
        </c:ser>
        <c:ser>
          <c:idx val="2"/>
          <c:order val="2"/>
          <c:tx>
            <c:strRef>
              <c:f>'IV.1.6 Aport.Gob.SS'!$D$4</c:f>
              <c:strCache>
                <c:ptCount val="1"/>
                <c:pt idx="0">
                  <c:v>Salud RS</c:v>
                </c:pt>
              </c:strCache>
            </c:strRef>
          </c:tx>
          <c:spPr>
            <a:solidFill>
              <a:schemeClr val="accent2"/>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'IV.1.6 Aport.Gob.SS'!$D$5:$D$15</c:f>
              <c:numCache>
                <c:formatCode>_(* #,##0.00_);_(* \(#,##0.00\);_(* "-"??_);_(@_)</c:formatCode>
                <c:ptCount val="11"/>
                <c:pt idx="0">
                  <c:v>604604920.63</c:v>
                </c:pt>
                <c:pt idx="1">
                  <c:v>724509996.65999997</c:v>
                </c:pt>
                <c:pt idx="2">
                  <c:v>1566425499.9599998</c:v>
                </c:pt>
                <c:pt idx="3">
                  <c:v>2203585531</c:v>
                </c:pt>
                <c:pt idx="4">
                  <c:v>3190675855.0100002</c:v>
                </c:pt>
                <c:pt idx="5">
                  <c:v>3736675849.46</c:v>
                </c:pt>
                <c:pt idx="6">
                  <c:v>4134675852</c:v>
                </c:pt>
                <c:pt idx="7">
                  <c:v>4599999999.96</c:v>
                </c:pt>
                <c:pt idx="8">
                  <c:v>5302610000</c:v>
                </c:pt>
                <c:pt idx="9">
                  <c:v>6839999499</c:v>
                </c:pt>
                <c:pt idx="10">
                  <c:v>3146732398</c:v>
                </c:pt>
              </c:numCache>
            </c:numRef>
          </c:val>
        </c:ser>
        <c:ser>
          <c:idx val="3"/>
          <c:order val="3"/>
          <c:tx>
            <c:strRef>
              <c:f>'IV.1.6 Aport.Gob.SS'!$E$4</c:f>
              <c:strCache>
                <c:ptCount val="1"/>
                <c:pt idx="0">
                  <c:v>RC (Empleador)</c:v>
                </c:pt>
              </c:strCache>
            </c:strRef>
          </c:tx>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'IV.1.6 Aport.Gob.SS'!$E$5:$E$15</c:f>
              <c:numCache>
                <c:formatCode>_(* #,##0.00_);_(* \(#,##0.00\);_(* "-"??_);_(@_)</c:formatCode>
                <c:ptCount val="11"/>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10126279654.1621</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Jun. 2015</c:v>
                </c:pt>
              </c:strCache>
            </c:strRef>
          </c:cat>
          <c:val>
            <c:numRef>
              <c:f>'IV.1.6 Aport.Gob.SS'!$F$5:$F$15</c:f>
              <c:numCache>
                <c:formatCode>_(* #,##0.00_);_(* \(#,##0.00\);_(* "-"??_);_(@_)</c:formatCode>
                <c:ptCount val="11"/>
                <c:pt idx="0">
                  <c:v>2632293015.6986003</c:v>
                </c:pt>
                <c:pt idx="1">
                  <c:v>2707394838.6397853</c:v>
                </c:pt>
                <c:pt idx="2">
                  <c:v>7123095404.0114002</c:v>
                </c:pt>
                <c:pt idx="3">
                  <c:v>9674854280.6672993</c:v>
                </c:pt>
                <c:pt idx="4">
                  <c:v>12268190203.96225</c:v>
                </c:pt>
                <c:pt idx="5">
                  <c:v>13830240236.268101</c:v>
                </c:pt>
                <c:pt idx="6">
                  <c:v>15631720382.417149</c:v>
                </c:pt>
                <c:pt idx="7">
                  <c:v>17530094298.915535</c:v>
                </c:pt>
                <c:pt idx="8">
                  <c:v>20589653290.926403</c:v>
                </c:pt>
                <c:pt idx="9">
                  <c:v>24825991786.375099</c:v>
                </c:pt>
                <c:pt idx="10">
                  <c:v>13450683420.282101</c:v>
                </c:pt>
              </c:numCache>
            </c:numRef>
          </c:val>
        </c:ser>
        <c:dLbls>
          <c:showLegendKey val="0"/>
          <c:showVal val="0"/>
          <c:showCatName val="0"/>
          <c:showSerName val="0"/>
          <c:showPercent val="0"/>
          <c:showBubbleSize val="0"/>
        </c:dLbls>
        <c:gapWidth val="75"/>
        <c:shape val="cylinder"/>
        <c:axId val="293519384"/>
        <c:axId val="293519776"/>
        <c:axId val="887728128"/>
      </c:bar3DChart>
      <c:catAx>
        <c:axId val="293519384"/>
        <c:scaling>
          <c:orientation val="minMax"/>
        </c:scaling>
        <c:delete val="0"/>
        <c:axPos val="b"/>
        <c:numFmt formatCode="General" sourceLinked="1"/>
        <c:majorTickMark val="none"/>
        <c:minorTickMark val="none"/>
        <c:tickLblPos val="nextTo"/>
        <c:txPr>
          <a:bodyPr/>
          <a:lstStyle/>
          <a:p>
            <a:pPr>
              <a:defRPr sz="1400" b="0"/>
            </a:pPr>
            <a:endParaRPr lang="es-ES"/>
          </a:p>
        </c:txPr>
        <c:crossAx val="293519776"/>
        <c:crosses val="autoZero"/>
        <c:auto val="1"/>
        <c:lblAlgn val="ctr"/>
        <c:lblOffset val="600"/>
        <c:noMultiLvlLbl val="0"/>
      </c:catAx>
      <c:valAx>
        <c:axId val="293519776"/>
        <c:scaling>
          <c:orientation val="minMax"/>
        </c:scaling>
        <c:delete val="1"/>
        <c:axPos val="l"/>
        <c:numFmt formatCode="_(* #,##0.00_);_(* \(#,##0.00\);_(* &quot;-&quot;??_);_(@_)" sourceLinked="1"/>
        <c:majorTickMark val="none"/>
        <c:minorTickMark val="none"/>
        <c:tickLblPos val="nextTo"/>
        <c:crossAx val="293519384"/>
        <c:crosses val="autoZero"/>
        <c:crossBetween val="between"/>
        <c:dispUnits>
          <c:builtInUnit val="billions"/>
          <c:dispUnitsLbl/>
        </c:dispUnits>
      </c:valAx>
      <c:serAx>
        <c:axId val="887728128"/>
        <c:scaling>
          <c:orientation val="minMax"/>
        </c:scaling>
        <c:delete val="1"/>
        <c:axPos val="b"/>
        <c:majorTickMark val="out"/>
        <c:minorTickMark val="none"/>
        <c:tickLblPos val="nextTo"/>
        <c:crossAx val="293519776"/>
        <c:crosses val="autoZero"/>
      </c:serAx>
    </c:plotArea>
    <c:legend>
      <c:legendPos val="l"/>
      <c:layout>
        <c:manualLayout>
          <c:xMode val="edge"/>
          <c:yMode val="edge"/>
          <c:x val="2.3381208106903553E-2"/>
          <c:y val="7.8194005496256797E-2"/>
          <c:w val="0.92589654580044922"/>
          <c:h val="6.78556755212525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3696937259596995"/>
          <c:w val="0.97198138310377136"/>
          <c:h val="0.63360812971337377"/>
        </c:manualLayout>
      </c:layout>
      <c:bar3DChart>
        <c:barDir val="col"/>
        <c:grouping val="clustered"/>
        <c:varyColors val="0"/>
        <c:ser>
          <c:idx val="0"/>
          <c:order val="0"/>
          <c:tx>
            <c:strRef>
              <c:f>'IV.2.2. Pagos SFS A'!$A$4</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-Jun. 2015</c:v>
                </c:pt>
              </c:strCache>
            </c:strRef>
          </c:cat>
          <c:val>
            <c:numRef>
              <c:f>'IV.2.2. Pagos SFS A'!$B$4:$J$4</c:f>
              <c:numCache>
                <c:formatCode>_(* #,##0.00_);_(* \(#,##0.00\);_(* "-"??_);_(@_)</c:formatCode>
                <c:ptCount val="9"/>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16582749042.689999</c:v>
                </c:pt>
              </c:numCache>
            </c:numRef>
          </c:val>
        </c:ser>
        <c:ser>
          <c:idx val="1"/>
          <c:order val="1"/>
          <c:tx>
            <c:strRef>
              <c:f>'IV.2.2. Pagos SFS A'!$A$5</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-Jun. 2015</c:v>
                </c:pt>
              </c:strCache>
            </c:strRef>
          </c:cat>
          <c:val>
            <c:numRef>
              <c:f>'IV.2.2. Pagos SFS A'!$B$5:$J$5</c:f>
              <c:numCache>
                <c:formatCode>_(* #,##0.00_);_(* \(#,##0.00\);_(* "-"??_);_(@_)</c:formatCode>
                <c:ptCount val="9"/>
                <c:pt idx="0">
                  <c:v>71139452</c:v>
                </c:pt>
                <c:pt idx="1">
                  <c:v>245511975</c:v>
                </c:pt>
                <c:pt idx="2">
                  <c:v>83348568.400000006</c:v>
                </c:pt>
                <c:pt idx="3">
                  <c:v>0</c:v>
                </c:pt>
                <c:pt idx="4">
                  <c:v>149163844</c:v>
                </c:pt>
                <c:pt idx="5">
                  <c:v>182825831.59999999</c:v>
                </c:pt>
                <c:pt idx="6">
                  <c:v>213705747.60000002</c:v>
                </c:pt>
                <c:pt idx="7">
                  <c:v>260908691.69999999</c:v>
                </c:pt>
                <c:pt idx="8">
                  <c:v>166901917.5</c:v>
                </c:pt>
              </c:numCache>
            </c:numRef>
          </c:val>
        </c:ser>
        <c:ser>
          <c:idx val="2"/>
          <c:order val="2"/>
          <c:tx>
            <c:strRef>
              <c:f>'IV.2.2. Pagos SFS A'!$A$6</c:f>
              <c:strCache>
                <c:ptCount val="1"/>
                <c:pt idx="0">
                  <c:v>Subsidios </c:v>
                </c:pt>
              </c:strCache>
            </c:strRef>
          </c:tx>
          <c:invertIfNegative val="0"/>
          <c:dLbls>
            <c:dLbl>
              <c:idx val="0"/>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-Jun. 2015</c:v>
                </c:pt>
              </c:strCache>
            </c:strRef>
          </c:cat>
          <c:val>
            <c:numRef>
              <c:f>'IV.2.2. Pagos SFS A'!$B$6:$J$6</c:f>
              <c:numCache>
                <c:formatCode>_(* #,##0.00_);_(* \(#,##0.00\);_(* "-"??_);_(@_)</c:formatCode>
                <c:ptCount val="9"/>
                <c:pt idx="0">
                  <c:v>0</c:v>
                </c:pt>
                <c:pt idx="1">
                  <c:v>283848938.23000002</c:v>
                </c:pt>
                <c:pt idx="2">
                  <c:v>717406862.31000018</c:v>
                </c:pt>
                <c:pt idx="3">
                  <c:v>958993042.63</c:v>
                </c:pt>
                <c:pt idx="4">
                  <c:v>1126433498.0599999</c:v>
                </c:pt>
                <c:pt idx="5">
                  <c:v>1222112428.3699999</c:v>
                </c:pt>
                <c:pt idx="6">
                  <c:v>1358265601.1399999</c:v>
                </c:pt>
                <c:pt idx="7">
                  <c:v>1556233315.7999997</c:v>
                </c:pt>
                <c:pt idx="8">
                  <c:v>815256927.48000002</c:v>
                </c:pt>
              </c:numCache>
            </c:numRef>
          </c:val>
        </c:ser>
        <c:ser>
          <c:idx val="3"/>
          <c:order val="3"/>
          <c:tx>
            <c:strRef>
              <c:f>'IV.2.2. Pagos SFS A'!$A$7</c:f>
              <c:strCache>
                <c:ptCount val="1"/>
                <c:pt idx="0">
                  <c:v>Comisión SISALRIL</c:v>
                </c:pt>
              </c:strCache>
            </c:strRef>
          </c:tx>
          <c:invertIfNegative val="0"/>
          <c:dLbls>
            <c:dLbl>
              <c:idx val="0"/>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-Jun. 2015</c:v>
                </c:pt>
              </c:strCache>
            </c:strRef>
          </c:cat>
          <c:val>
            <c:numRef>
              <c:f>'IV.2.2. Pagos SFS A'!$B$7:$J$7</c:f>
              <c:numCache>
                <c:formatCode>_(* #,##0.00_);_(* \(#,##0.00\);_(* "-"??_);_(@_)</c:formatCode>
                <c:ptCount val="9"/>
                <c:pt idx="0">
                  <c:v>0</c:v>
                </c:pt>
                <c:pt idx="1">
                  <c:v>38720972.609999999</c:v>
                </c:pt>
                <c:pt idx="2">
                  <c:v>121903634.47</c:v>
                </c:pt>
                <c:pt idx="3">
                  <c:v>138388657.69999999</c:v>
                </c:pt>
                <c:pt idx="4">
                  <c:v>155182686.03</c:v>
                </c:pt>
                <c:pt idx="5">
                  <c:v>171240027.52000004</c:v>
                </c:pt>
                <c:pt idx="6">
                  <c:v>190492244.19999999</c:v>
                </c:pt>
                <c:pt idx="7">
                  <c:v>215918628.93000001</c:v>
                </c:pt>
                <c:pt idx="8">
                  <c:v>116706322.91</c:v>
                </c:pt>
              </c:numCache>
            </c:numRef>
          </c:val>
        </c:ser>
        <c:ser>
          <c:idx val="4"/>
          <c:order val="4"/>
          <c:tx>
            <c:strRef>
              <c:f>'IV.2.2. Pagos SFS A'!$A$8</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-Jun. 2015</c:v>
                </c:pt>
              </c:strCache>
            </c:strRef>
          </c:cat>
          <c:val>
            <c:numRef>
              <c:f>'IV.2.2. Pagos SFS A'!$B$8:$J$8</c:f>
              <c:numCache>
                <c:formatCode>_(* #,##0.00_);_(* \(#,##0.00\);_(* "-"??_);_(@_)</c:formatCode>
                <c:ptCount val="9"/>
                <c:pt idx="0">
                  <c:v>0</c:v>
                </c:pt>
                <c:pt idx="1">
                  <c:v>0</c:v>
                </c:pt>
                <c:pt idx="2">
                  <c:v>16656000</c:v>
                </c:pt>
                <c:pt idx="3">
                  <c:v>68030000</c:v>
                </c:pt>
                <c:pt idx="4">
                  <c:v>168385579.84999999</c:v>
                </c:pt>
                <c:pt idx="5">
                  <c:v>182376500</c:v>
                </c:pt>
                <c:pt idx="6">
                  <c:v>215786255.86000001</c:v>
                </c:pt>
                <c:pt idx="7">
                  <c:v>262429320</c:v>
                </c:pt>
                <c:pt idx="8">
                  <c:v>141187420</c:v>
                </c:pt>
              </c:numCache>
            </c:numRef>
          </c:val>
        </c:ser>
        <c:dLbls>
          <c:showLegendKey val="0"/>
          <c:showVal val="0"/>
          <c:showCatName val="0"/>
          <c:showSerName val="0"/>
          <c:showPercent val="0"/>
          <c:showBubbleSize val="0"/>
        </c:dLbls>
        <c:gapWidth val="99"/>
        <c:gapDepth val="311"/>
        <c:shape val="cylinder"/>
        <c:axId val="293520560"/>
        <c:axId val="293520952"/>
        <c:axId val="0"/>
      </c:bar3DChart>
      <c:catAx>
        <c:axId val="293520560"/>
        <c:scaling>
          <c:orientation val="minMax"/>
        </c:scaling>
        <c:delete val="0"/>
        <c:axPos val="b"/>
        <c:numFmt formatCode="General" sourceLinked="1"/>
        <c:majorTickMark val="none"/>
        <c:minorTickMark val="none"/>
        <c:tickLblPos val="nextTo"/>
        <c:txPr>
          <a:bodyPr/>
          <a:lstStyle/>
          <a:p>
            <a:pPr>
              <a:defRPr lang="en-US" sz="1800"/>
            </a:pPr>
            <a:endParaRPr lang="es-ES"/>
          </a:p>
        </c:txPr>
        <c:crossAx val="293520952"/>
        <c:crosses val="autoZero"/>
        <c:auto val="1"/>
        <c:lblAlgn val="ctr"/>
        <c:lblOffset val="100"/>
        <c:noMultiLvlLbl val="0"/>
      </c:catAx>
      <c:valAx>
        <c:axId val="293520952"/>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293520560"/>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7396307049125909"/>
          <c:y val="0.11510490598323837"/>
          <c:w val="0.62684058370147855"/>
          <c:h val="5.039853750433224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1931036327465429"/>
          <c:y val="1.429128002888625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624934383202102E-2"/>
          <c:y val="0.28522902114622151"/>
          <c:w val="0.90378654855643048"/>
          <c:h val="0.53969174134595543"/>
        </c:manualLayout>
      </c:layout>
      <c:bar3DChart>
        <c:barDir val="col"/>
        <c:grouping val="clustered"/>
        <c:varyColors val="0"/>
        <c:ser>
          <c:idx val="0"/>
          <c:order val="0"/>
          <c:tx>
            <c:strRef>
              <c:f>'IV.2.3.Pagos_SFS M'!$B$3</c:f>
              <c:strCache>
                <c:ptCount val="1"/>
                <c:pt idx="0">
                  <c:v>Cuidado de la Salud</c:v>
                </c:pt>
              </c:strCache>
            </c:strRef>
          </c:tx>
          <c:spPr>
            <a:solidFill>
              <a:schemeClr val="accent3">
                <a:lumMod val="75000"/>
              </a:schemeClr>
            </a:solidFill>
          </c:spPr>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41791</c:v>
                </c:pt>
                <c:pt idx="1">
                  <c:v>41821</c:v>
                </c:pt>
                <c:pt idx="2">
                  <c:v>41852</c:v>
                </c:pt>
                <c:pt idx="3">
                  <c:v>41883</c:v>
                </c:pt>
                <c:pt idx="4">
                  <c:v>41913</c:v>
                </c:pt>
                <c:pt idx="5">
                  <c:v>41944</c:v>
                </c:pt>
                <c:pt idx="6">
                  <c:v>41974</c:v>
                </c:pt>
                <c:pt idx="7">
                  <c:v>42005</c:v>
                </c:pt>
                <c:pt idx="8">
                  <c:v>42050</c:v>
                </c:pt>
                <c:pt idx="9">
                  <c:v>42078</c:v>
                </c:pt>
                <c:pt idx="10">
                  <c:v>42109</c:v>
                </c:pt>
                <c:pt idx="11">
                  <c:v>42139</c:v>
                </c:pt>
                <c:pt idx="12">
                  <c:v>42170</c:v>
                </c:pt>
              </c:numCache>
            </c:numRef>
          </c:cat>
          <c:val>
            <c:numRef>
              <c:f>'IV.2.3.Pagos_SFS M'!$B$4:$B$16</c:f>
              <c:numCache>
                <c:formatCode>_(* #,##0.00_);_(* \(#,##0.00\);_(* "-"??_);_(@_)</c:formatCode>
                <c:ptCount val="13"/>
                <c:pt idx="0">
                  <c:v>2683967635.4099998</c:v>
                </c:pt>
                <c:pt idx="1">
                  <c:v>2594192728.46</c:v>
                </c:pt>
                <c:pt idx="2">
                  <c:v>2641820988.0099998</c:v>
                </c:pt>
                <c:pt idx="3">
                  <c:v>2631187836.6500001</c:v>
                </c:pt>
                <c:pt idx="4">
                  <c:v>2657402335.5600004</c:v>
                </c:pt>
                <c:pt idx="5">
                  <c:v>2675404983.6300001</c:v>
                </c:pt>
                <c:pt idx="6">
                  <c:v>2695428414.4199996</c:v>
                </c:pt>
                <c:pt idx="7">
                  <c:v>2706090096.8499999</c:v>
                </c:pt>
                <c:pt idx="8">
                  <c:v>2715305476.3699999</c:v>
                </c:pt>
                <c:pt idx="9">
                  <c:v>2770375708.0900002</c:v>
                </c:pt>
                <c:pt idx="10">
                  <c:v>2783474943.29</c:v>
                </c:pt>
                <c:pt idx="11">
                  <c:v>2799017569.7599998</c:v>
                </c:pt>
                <c:pt idx="12">
                  <c:v>2808485248.3299999</c:v>
                </c:pt>
              </c:numCache>
            </c:numRef>
          </c:val>
        </c:ser>
        <c:ser>
          <c:idx val="1"/>
          <c:order val="1"/>
          <c:tx>
            <c:strRef>
              <c:f>'IV.2.3.Pagos_SFS M'!$C$3</c:f>
              <c:strCache>
                <c:ptCount val="1"/>
                <c:pt idx="0">
                  <c:v>FONAMAT</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41791</c:v>
                </c:pt>
                <c:pt idx="1">
                  <c:v>41821</c:v>
                </c:pt>
                <c:pt idx="2">
                  <c:v>41852</c:v>
                </c:pt>
                <c:pt idx="3">
                  <c:v>41883</c:v>
                </c:pt>
                <c:pt idx="4">
                  <c:v>41913</c:v>
                </c:pt>
                <c:pt idx="5">
                  <c:v>41944</c:v>
                </c:pt>
                <c:pt idx="6">
                  <c:v>41974</c:v>
                </c:pt>
                <c:pt idx="7">
                  <c:v>42005</c:v>
                </c:pt>
                <c:pt idx="8">
                  <c:v>42050</c:v>
                </c:pt>
                <c:pt idx="9">
                  <c:v>42078</c:v>
                </c:pt>
                <c:pt idx="10">
                  <c:v>42109</c:v>
                </c:pt>
                <c:pt idx="11">
                  <c:v>42139</c:v>
                </c:pt>
                <c:pt idx="12">
                  <c:v>42170</c:v>
                </c:pt>
              </c:numCache>
            </c:numRef>
          </c:cat>
          <c:val>
            <c:numRef>
              <c:f>'IV.2.3.Pagos_SFS M'!$C$4:$C$16</c:f>
              <c:numCache>
                <c:formatCode>_(* #,##0.00_);_(* \(#,##0.00\);_(* "-"??_);_(@_)</c:formatCode>
                <c:ptCount val="13"/>
                <c:pt idx="0">
                  <c:v>43392624</c:v>
                </c:pt>
                <c:pt idx="1">
                  <c:v>21695539.5</c:v>
                </c:pt>
                <c:pt idx="2">
                  <c:v>22127010</c:v>
                </c:pt>
                <c:pt idx="3">
                  <c:v>21933249</c:v>
                </c:pt>
                <c:pt idx="4">
                  <c:v>22144288.5</c:v>
                </c:pt>
                <c:pt idx="5">
                  <c:v>22622574</c:v>
                </c:pt>
                <c:pt idx="6">
                  <c:v>22553880</c:v>
                </c:pt>
                <c:pt idx="7">
                  <c:v>26935035</c:v>
                </c:pt>
                <c:pt idx="8">
                  <c:v>27413422.5</c:v>
                </c:pt>
                <c:pt idx="9">
                  <c:v>27668746.5</c:v>
                </c:pt>
                <c:pt idx="10">
                  <c:v>28317622.5</c:v>
                </c:pt>
                <c:pt idx="11">
                  <c:v>28285198.5</c:v>
                </c:pt>
                <c:pt idx="12">
                  <c:v>28281892.5</c:v>
                </c:pt>
              </c:numCache>
            </c:numRef>
          </c:val>
        </c:ser>
        <c:ser>
          <c:idx val="2"/>
          <c:order val="2"/>
          <c:tx>
            <c:strRef>
              <c:f>'IV.2.3.Pagos_SFS M'!$D$3</c:f>
              <c:strCache>
                <c:ptCount val="1"/>
                <c:pt idx="0">
                  <c:v>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41791</c:v>
                </c:pt>
                <c:pt idx="1">
                  <c:v>41821</c:v>
                </c:pt>
                <c:pt idx="2">
                  <c:v>41852</c:v>
                </c:pt>
                <c:pt idx="3">
                  <c:v>41883</c:v>
                </c:pt>
                <c:pt idx="4">
                  <c:v>41913</c:v>
                </c:pt>
                <c:pt idx="5">
                  <c:v>41944</c:v>
                </c:pt>
                <c:pt idx="6">
                  <c:v>41974</c:v>
                </c:pt>
                <c:pt idx="7">
                  <c:v>42005</c:v>
                </c:pt>
                <c:pt idx="8">
                  <c:v>42050</c:v>
                </c:pt>
                <c:pt idx="9">
                  <c:v>42078</c:v>
                </c:pt>
                <c:pt idx="10">
                  <c:v>42109</c:v>
                </c:pt>
                <c:pt idx="11">
                  <c:v>42139</c:v>
                </c:pt>
                <c:pt idx="12">
                  <c:v>42170</c:v>
                </c:pt>
              </c:numCache>
            </c:numRef>
          </c:cat>
          <c:val>
            <c:numRef>
              <c:f>'IV.2.3.Pagos_SFS M'!$D$4:$D$16</c:f>
              <c:numCache>
                <c:formatCode>_(* #,##0.00_);_(* \(#,##0.00\);_(* "-"??_);_(@_)</c:formatCode>
                <c:ptCount val="13"/>
                <c:pt idx="0">
                  <c:v>137309264.62</c:v>
                </c:pt>
                <c:pt idx="1">
                  <c:v>133174993.88</c:v>
                </c:pt>
                <c:pt idx="2">
                  <c:v>131852721.61</c:v>
                </c:pt>
                <c:pt idx="3">
                  <c:v>134291668.47999999</c:v>
                </c:pt>
                <c:pt idx="4">
                  <c:v>134502961.25999999</c:v>
                </c:pt>
                <c:pt idx="5">
                  <c:v>129397014.25</c:v>
                </c:pt>
                <c:pt idx="6">
                  <c:v>133971069.88</c:v>
                </c:pt>
                <c:pt idx="7">
                  <c:v>128685947.84999999</c:v>
                </c:pt>
                <c:pt idx="8">
                  <c:v>131476627.64</c:v>
                </c:pt>
                <c:pt idx="9">
                  <c:v>138467247.25</c:v>
                </c:pt>
                <c:pt idx="10">
                  <c:v>134538299.06</c:v>
                </c:pt>
                <c:pt idx="11">
                  <c:v>136303790.02000001</c:v>
                </c:pt>
                <c:pt idx="12">
                  <c:v>145785015.66</c:v>
                </c:pt>
              </c:numCache>
            </c:numRef>
          </c:val>
        </c:ser>
        <c:ser>
          <c:idx val="3"/>
          <c:order val="3"/>
          <c:tx>
            <c:strRef>
              <c:f>'IV.2.3.Pagos_SFS M'!$E$3</c:f>
              <c:strCache>
                <c:ptCount val="1"/>
                <c:pt idx="0">
                  <c:v>Comisión SISALRIL</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41791</c:v>
                </c:pt>
                <c:pt idx="1">
                  <c:v>41821</c:v>
                </c:pt>
                <c:pt idx="2">
                  <c:v>41852</c:v>
                </c:pt>
                <c:pt idx="3">
                  <c:v>41883</c:v>
                </c:pt>
                <c:pt idx="4">
                  <c:v>41913</c:v>
                </c:pt>
                <c:pt idx="5">
                  <c:v>41944</c:v>
                </c:pt>
                <c:pt idx="6">
                  <c:v>41974</c:v>
                </c:pt>
                <c:pt idx="7">
                  <c:v>42005</c:v>
                </c:pt>
                <c:pt idx="8">
                  <c:v>42050</c:v>
                </c:pt>
                <c:pt idx="9">
                  <c:v>42078</c:v>
                </c:pt>
                <c:pt idx="10">
                  <c:v>42109</c:v>
                </c:pt>
                <c:pt idx="11">
                  <c:v>42139</c:v>
                </c:pt>
                <c:pt idx="12">
                  <c:v>42170</c:v>
                </c:pt>
              </c:numCache>
            </c:numRef>
          </c:cat>
          <c:val>
            <c:numRef>
              <c:f>'IV.2.3.Pagos_SFS M'!$E$4:$E$16</c:f>
              <c:numCache>
                <c:formatCode>_(* #,##0.00_);_(* \(#,##0.00\);_(* "-"??_);_(@_)</c:formatCode>
                <c:ptCount val="13"/>
                <c:pt idx="0">
                  <c:v>18317103.920000002</c:v>
                </c:pt>
                <c:pt idx="1">
                  <c:v>18106572.739999998</c:v>
                </c:pt>
                <c:pt idx="2">
                  <c:v>18117489.039999999</c:v>
                </c:pt>
                <c:pt idx="3">
                  <c:v>18358494.530000001</c:v>
                </c:pt>
                <c:pt idx="4">
                  <c:v>18689133.52</c:v>
                </c:pt>
                <c:pt idx="5">
                  <c:v>18490936.91</c:v>
                </c:pt>
                <c:pt idx="6">
                  <c:v>19457072.02</c:v>
                </c:pt>
                <c:pt idx="7">
                  <c:v>18409106.789999999</c:v>
                </c:pt>
                <c:pt idx="8">
                  <c:v>18908389.609999999</c:v>
                </c:pt>
                <c:pt idx="9">
                  <c:v>19882626.829999998</c:v>
                </c:pt>
                <c:pt idx="10">
                  <c:v>19553715.449999999</c:v>
                </c:pt>
                <c:pt idx="11">
                  <c:v>19771677.609999999</c:v>
                </c:pt>
                <c:pt idx="12">
                  <c:v>20180806.620000001</c:v>
                </c:pt>
              </c:numCache>
            </c:numRef>
          </c:val>
        </c:ser>
        <c:ser>
          <c:idx val="4"/>
          <c:order val="4"/>
          <c:tx>
            <c:strRef>
              <c:f>'IV.2.3.Pagos_SFS M'!$F$3</c:f>
              <c:strCache>
                <c:ptCount val="1"/>
                <c:pt idx="0">
                  <c:v>Estancias Infantiles (Pago cápitas/niños</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41791</c:v>
                </c:pt>
                <c:pt idx="1">
                  <c:v>41821</c:v>
                </c:pt>
                <c:pt idx="2">
                  <c:v>41852</c:v>
                </c:pt>
                <c:pt idx="3">
                  <c:v>41883</c:v>
                </c:pt>
                <c:pt idx="4">
                  <c:v>41913</c:v>
                </c:pt>
                <c:pt idx="5">
                  <c:v>41944</c:v>
                </c:pt>
                <c:pt idx="6">
                  <c:v>41974</c:v>
                </c:pt>
                <c:pt idx="7">
                  <c:v>42005</c:v>
                </c:pt>
                <c:pt idx="8">
                  <c:v>42050</c:v>
                </c:pt>
                <c:pt idx="9">
                  <c:v>42078</c:v>
                </c:pt>
                <c:pt idx="10">
                  <c:v>42109</c:v>
                </c:pt>
                <c:pt idx="11">
                  <c:v>42139</c:v>
                </c:pt>
                <c:pt idx="12">
                  <c:v>42170</c:v>
                </c:pt>
              </c:numCache>
            </c:numRef>
          </c:cat>
          <c:val>
            <c:numRef>
              <c:f>'IV.2.3.Pagos_SFS M'!$F$4:$F$16</c:f>
              <c:numCache>
                <c:formatCode>_(* #,##0.00_);_(* \(#,##0.00\);_(* "-"??_);_(@_)</c:formatCode>
                <c:ptCount val="13"/>
                <c:pt idx="0">
                  <c:v>13402000</c:v>
                </c:pt>
                <c:pt idx="1">
                  <c:v>13136000</c:v>
                </c:pt>
                <c:pt idx="2">
                  <c:v>14004000</c:v>
                </c:pt>
                <c:pt idx="3">
                  <c:v>15014000</c:v>
                </c:pt>
                <c:pt idx="4">
                  <c:v>15616000</c:v>
                </c:pt>
                <c:pt idx="5">
                  <c:v>15756000</c:v>
                </c:pt>
                <c:pt idx="6">
                  <c:v>14748000</c:v>
                </c:pt>
                <c:pt idx="7">
                  <c:v>14816000</c:v>
                </c:pt>
                <c:pt idx="8">
                  <c:v>14174000</c:v>
                </c:pt>
                <c:pt idx="9">
                  <c:v>13972000</c:v>
                </c:pt>
                <c:pt idx="10">
                  <c:v>11500000</c:v>
                </c:pt>
                <c:pt idx="11">
                  <c:v>11478000</c:v>
                </c:pt>
                <c:pt idx="12">
                  <c:v>11180000</c:v>
                </c:pt>
              </c:numCache>
            </c:numRef>
          </c:val>
        </c:ser>
        <c:ser>
          <c:idx val="5"/>
          <c:order val="5"/>
          <c:tx>
            <c:strRef>
              <c:f>'IV.1.2.3 Dip. SFS mensual'!#REF!</c:f>
              <c:strCache>
                <c:ptCount val="1"/>
                <c:pt idx="0">
                  <c:v>#REF!</c:v>
                </c:pt>
              </c:strCache>
            </c:strRef>
          </c:tx>
          <c:invertIfNegative val="0"/>
          <c:cat>
            <c:numRef>
              <c:f>'IV.2.3.Pagos_SFS M'!$A$4:$A$16</c:f>
              <c:numCache>
                <c:formatCode>mmm\-yy</c:formatCode>
                <c:ptCount val="13"/>
                <c:pt idx="0">
                  <c:v>41791</c:v>
                </c:pt>
                <c:pt idx="1">
                  <c:v>41821</c:v>
                </c:pt>
                <c:pt idx="2">
                  <c:v>41852</c:v>
                </c:pt>
                <c:pt idx="3">
                  <c:v>41883</c:v>
                </c:pt>
                <c:pt idx="4">
                  <c:v>41913</c:v>
                </c:pt>
                <c:pt idx="5">
                  <c:v>41944</c:v>
                </c:pt>
                <c:pt idx="6">
                  <c:v>41974</c:v>
                </c:pt>
                <c:pt idx="7">
                  <c:v>42005</c:v>
                </c:pt>
                <c:pt idx="8">
                  <c:v>42050</c:v>
                </c:pt>
                <c:pt idx="9">
                  <c:v>42078</c:v>
                </c:pt>
                <c:pt idx="10">
                  <c:v>42109</c:v>
                </c:pt>
                <c:pt idx="11">
                  <c:v>42139</c:v>
                </c:pt>
                <c:pt idx="12">
                  <c:v>42170</c:v>
                </c:pt>
              </c:numCache>
            </c:numRef>
          </c:cat>
          <c:val>
            <c:numRef>
              <c:f>'IV.1.2.3 Dip. SFS mensual'!#REF!</c:f>
              <c:numCache>
                <c:formatCode>General</c:formatCode>
                <c:ptCount val="1"/>
                <c:pt idx="0">
                  <c:v>1</c:v>
                </c:pt>
              </c:numCache>
            </c:numRef>
          </c:val>
        </c:ser>
        <c:dLbls>
          <c:showLegendKey val="0"/>
          <c:showVal val="0"/>
          <c:showCatName val="0"/>
          <c:showSerName val="0"/>
          <c:showPercent val="0"/>
          <c:showBubbleSize val="0"/>
        </c:dLbls>
        <c:gapWidth val="25"/>
        <c:shape val="cylinder"/>
        <c:axId val="293521736"/>
        <c:axId val="293522128"/>
        <c:axId val="0"/>
      </c:bar3DChart>
      <c:dateAx>
        <c:axId val="293521736"/>
        <c:scaling>
          <c:orientation val="minMax"/>
        </c:scaling>
        <c:delete val="0"/>
        <c:axPos val="b"/>
        <c:numFmt formatCode="mmm\-yy" sourceLinked="0"/>
        <c:majorTickMark val="none"/>
        <c:minorTickMark val="none"/>
        <c:tickLblPos val="nextTo"/>
        <c:txPr>
          <a:bodyPr rot="-2700000" vert="horz"/>
          <a:lstStyle/>
          <a:p>
            <a:pPr>
              <a:defRPr sz="1600"/>
            </a:pPr>
            <a:endParaRPr lang="es-ES"/>
          </a:p>
        </c:txPr>
        <c:crossAx val="293522128"/>
        <c:crosses val="autoZero"/>
        <c:auto val="1"/>
        <c:lblOffset val="100"/>
        <c:baseTimeUnit val="months"/>
      </c:dateAx>
      <c:valAx>
        <c:axId val="293522128"/>
        <c:scaling>
          <c:orientation val="minMax"/>
        </c:scaling>
        <c:delete val="0"/>
        <c:axPos val="l"/>
        <c:numFmt formatCode="_(* #,##0.00_);_(* \(#,##0.00\);_(* &quot;-&quot;??_);_(@_)" sourceLinked="1"/>
        <c:majorTickMark val="none"/>
        <c:minorTickMark val="none"/>
        <c:tickLblPos val="nextTo"/>
        <c:spPr>
          <a:ln w="9525">
            <a:noFill/>
          </a:ln>
        </c:spPr>
        <c:crossAx val="293521736"/>
        <c:crosses val="autoZero"/>
        <c:crossBetween val="between"/>
        <c:dispUnits>
          <c:builtInUnit val="millions"/>
          <c:dispUnitsLbl>
            <c:layout>
              <c:manualLayout>
                <c:xMode val="edge"/>
                <c:yMode val="edge"/>
                <c:x val="2.0615485564304464E-2"/>
                <c:y val="0.55284357366613368"/>
              </c:manualLayout>
            </c:layout>
            <c:txPr>
              <a:bodyPr/>
              <a:lstStyle/>
              <a:p>
                <a:pPr>
                  <a:defRPr sz="1400" b="0"/>
                </a:pPr>
                <a:endParaRPr lang="es-ES"/>
              </a:p>
            </c:txPr>
          </c:dispUnitsLbl>
        </c:dispUnits>
      </c:valAx>
      <c:spPr>
        <a:noFill/>
        <a:ln w="25400">
          <a:noFill/>
        </a:ln>
      </c:spPr>
    </c:plotArea>
    <c:legend>
      <c:legendPos val="t"/>
      <c:legendEntry>
        <c:idx val="5"/>
        <c:delete val="1"/>
      </c:legendEntry>
      <c:layout>
        <c:manualLayout>
          <c:xMode val="edge"/>
          <c:yMode val="edge"/>
          <c:x val="0.17594710533794741"/>
          <c:y val="7.5148391054388572E-2"/>
          <c:w val="0.66195100607111401"/>
          <c:h val="4.1966310913158687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b="1">
                <a:effectLst/>
              </a:rPr>
              <a:t>Fondos Pagados a las  Administradora de Riesgos de Salud (ARS) del SFS del RC</a:t>
            </a:r>
          </a:p>
        </c:rich>
      </c:tx>
      <c:layout>
        <c:manualLayout>
          <c:xMode val="edge"/>
          <c:yMode val="edge"/>
          <c:x val="0.2649984446638049"/>
          <c:y val="2.8576144492073168E-2"/>
        </c:manualLayout>
      </c:layout>
      <c:overlay val="0"/>
    </c:title>
    <c:autoTitleDeleted val="0"/>
    <c:plotArea>
      <c:layout>
        <c:manualLayout>
          <c:layoutTarget val="inner"/>
          <c:xMode val="edge"/>
          <c:yMode val="edge"/>
          <c:x val="0.17204760566583793"/>
          <c:y val="0.13914901289788731"/>
          <c:w val="0.66993668084930846"/>
          <c:h val="0.80413416591900633"/>
        </c:manualLayout>
      </c:layout>
      <c:barChart>
        <c:barDir val="bar"/>
        <c:grouping val="clustered"/>
        <c:varyColors val="0"/>
        <c:ser>
          <c:idx val="0"/>
          <c:order val="0"/>
          <c:tx>
            <c:strRef>
              <c:f>'IV.2.4.Pagos x ARS'!$C$3</c:f>
              <c:strCache>
                <c:ptCount val="1"/>
                <c:pt idx="0">
                  <c:v>Total 
Sep.07 - Jun.2015</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5">
                  <a:lumMod val="50000"/>
                </a:schemeClr>
              </a:solidFill>
            </c:spPr>
          </c:dPt>
          <c:dPt>
            <c:idx val="3"/>
            <c:invertIfNegative val="0"/>
            <c:bubble3D val="0"/>
            <c:spPr>
              <a:solidFill>
                <a:schemeClr val="tx2">
                  <a:lumMod val="60000"/>
                  <a:lumOff val="40000"/>
                </a:schemeClr>
              </a:solidFill>
            </c:spPr>
          </c:dPt>
          <c:dPt>
            <c:idx val="4"/>
            <c:invertIfNegative val="0"/>
            <c:bubble3D val="0"/>
            <c:spPr>
              <a:solidFill>
                <a:srgbClr val="00B050"/>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chemeClr val="tx2">
                  <a:lumMod val="60000"/>
                  <a:lumOff val="40000"/>
                </a:schemeClr>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00B050"/>
              </a:solidFill>
            </c:spPr>
          </c:dPt>
          <c:dPt>
            <c:idx val="23"/>
            <c:invertIfNegative val="0"/>
            <c:bubble3D val="0"/>
            <c:spPr>
              <a:solidFill>
                <a:srgbClr val="FF0000"/>
              </a:solidFill>
            </c:spPr>
          </c:dPt>
          <c:dPt>
            <c:idx val="24"/>
            <c:invertIfNegative val="0"/>
            <c:bubble3D val="0"/>
            <c:spPr>
              <a:solidFill>
                <a:srgbClr val="00B05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ARS'!$B$4:$B$32</c:f>
              <c:strCache>
                <c:ptCount val="29"/>
                <c:pt idx="0">
                  <c:v>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ISSAPOL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55994527197.369995</c:v>
                </c:pt>
                <c:pt idx="1">
                  <c:v>24052248596.809998</c:v>
                </c:pt>
                <c:pt idx="2">
                  <c:v>22784290255.689999</c:v>
                </c:pt>
                <c:pt idx="3">
                  <c:v>20677737040.670002</c:v>
                </c:pt>
                <c:pt idx="4">
                  <c:v>13200646335.889999</c:v>
                </c:pt>
                <c:pt idx="5">
                  <c:v>9016242180.8599987</c:v>
                </c:pt>
                <c:pt idx="6">
                  <c:v>3119370268.7700009</c:v>
                </c:pt>
                <c:pt idx="7">
                  <c:v>3460524861.1699996</c:v>
                </c:pt>
                <c:pt idx="8">
                  <c:v>2739514321.3000007</c:v>
                </c:pt>
                <c:pt idx="9">
                  <c:v>2163231786.7200003</c:v>
                </c:pt>
                <c:pt idx="10">
                  <c:v>2298004097.6199999</c:v>
                </c:pt>
                <c:pt idx="11">
                  <c:v>1947562556.25</c:v>
                </c:pt>
                <c:pt idx="12">
                  <c:v>1907752656.3599999</c:v>
                </c:pt>
                <c:pt idx="13">
                  <c:v>1669393884.04</c:v>
                </c:pt>
                <c:pt idx="14">
                  <c:v>1623041236.9099998</c:v>
                </c:pt>
                <c:pt idx="15">
                  <c:v>1328820125.02</c:v>
                </c:pt>
                <c:pt idx="16">
                  <c:v>1307243105.9100001</c:v>
                </c:pt>
                <c:pt idx="17">
                  <c:v>1233997914.1700003</c:v>
                </c:pt>
                <c:pt idx="18">
                  <c:v>1042962184.58</c:v>
                </c:pt>
                <c:pt idx="19">
                  <c:v>864784096.91999936</c:v>
                </c:pt>
                <c:pt idx="20">
                  <c:v>522137790.63999993</c:v>
                </c:pt>
                <c:pt idx="21">
                  <c:v>519417539.76999998</c:v>
                </c:pt>
                <c:pt idx="22">
                  <c:v>379903660.19000006</c:v>
                </c:pt>
                <c:pt idx="23">
                  <c:v>260644027.96000001</c:v>
                </c:pt>
                <c:pt idx="24">
                  <c:v>172228376.97</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293522912"/>
        <c:axId val="293523304"/>
      </c:barChart>
      <c:catAx>
        <c:axId val="293522912"/>
        <c:scaling>
          <c:orientation val="minMax"/>
        </c:scaling>
        <c:delete val="0"/>
        <c:axPos val="l"/>
        <c:numFmt formatCode="General" sourceLinked="1"/>
        <c:majorTickMark val="out"/>
        <c:minorTickMark val="none"/>
        <c:tickLblPos val="nextTo"/>
        <c:txPr>
          <a:bodyPr/>
          <a:lstStyle/>
          <a:p>
            <a:pPr>
              <a:defRPr lang="en-US" sz="1000"/>
            </a:pPr>
            <a:endParaRPr lang="es-ES"/>
          </a:p>
        </c:txPr>
        <c:crossAx val="293523304"/>
        <c:crosses val="autoZero"/>
        <c:auto val="1"/>
        <c:lblAlgn val="ctr"/>
        <c:lblOffset val="100"/>
        <c:noMultiLvlLbl val="0"/>
      </c:catAx>
      <c:valAx>
        <c:axId val="293523304"/>
        <c:scaling>
          <c:orientation val="minMax"/>
        </c:scaling>
        <c:delete val="1"/>
        <c:axPos val="b"/>
        <c:numFmt formatCode="_(* #,##0.00_);_(* \(#,##0.00\);_(* &quot;-&quot;??_);_(@_)" sourceLinked="1"/>
        <c:majorTickMark val="out"/>
        <c:minorTickMark val="none"/>
        <c:tickLblPos val="nextTo"/>
        <c:crossAx val="293522912"/>
        <c:crosses val="autoZero"/>
        <c:crossBetween val="between"/>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6.294767518102018E-2"/>
          <c:y val="0.1281461315057526"/>
          <c:w val="0.87298059778984494"/>
          <c:h val="0.72391222009485001"/>
        </c:manualLayout>
      </c:layout>
      <c:barChart>
        <c:barDir val="col"/>
        <c:grouping val="clustered"/>
        <c:varyColors val="0"/>
        <c:ser>
          <c:idx val="0"/>
          <c:order val="0"/>
          <c:tx>
            <c:strRef>
              <c:f>III.1.3.Afil.SFSPob.Nac.!$C$3</c:f>
              <c:strCache>
                <c:ptCount val="1"/>
                <c:pt idx="0">
                  <c:v>Población Nacional Total</c:v>
                </c:pt>
              </c:strCache>
            </c:strRef>
          </c:tx>
          <c:spPr>
            <a:solidFill>
              <a:srgbClr val="0070C0"/>
            </a:solidFill>
          </c:spPr>
          <c:invertIfNegative val="0"/>
          <c:dLbls>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III.1.3.Afil.SFSPob.Nac.!$A$4:$A$16</c:f>
              <c:strCache>
                <c:ptCount val="11"/>
                <c:pt idx="0">
                  <c:v>2005</c:v>
                </c:pt>
                <c:pt idx="1">
                  <c:v>2006</c:v>
                </c:pt>
                <c:pt idx="2">
                  <c:v>2007</c:v>
                </c:pt>
                <c:pt idx="3">
                  <c:v>2008</c:v>
                </c:pt>
                <c:pt idx="4">
                  <c:v>2009</c:v>
                </c:pt>
                <c:pt idx="5">
                  <c:v>2010</c:v>
                </c:pt>
                <c:pt idx="6">
                  <c:v>2011</c:v>
                </c:pt>
                <c:pt idx="7">
                  <c:v>2012</c:v>
                </c:pt>
                <c:pt idx="8">
                  <c:v>2013</c:v>
                </c:pt>
                <c:pt idx="9">
                  <c:v>2014</c:v>
                </c:pt>
                <c:pt idx="10">
                  <c:v>Jun.15</c:v>
                </c:pt>
              </c:strCache>
            </c:strRef>
          </c:cat>
          <c:val>
            <c:numRef>
              <c:f>III.1.3.Afil.SFSPob.Nac.!$C$4:$C$16</c:f>
              <c:numCache>
                <c:formatCode>#,##0_);[Red]\(#,##0\)</c:formatCode>
                <c:ptCount val="11"/>
                <c:pt idx="0">
                  <c:v>8968144</c:v>
                </c:pt>
                <c:pt idx="1">
                  <c:v>9072308</c:v>
                </c:pt>
                <c:pt idx="2">
                  <c:v>9175265</c:v>
                </c:pt>
                <c:pt idx="3">
                  <c:v>9277181</c:v>
                </c:pt>
                <c:pt idx="4">
                  <c:v>9378455</c:v>
                </c:pt>
                <c:pt idx="5">
                  <c:v>9478612</c:v>
                </c:pt>
                <c:pt idx="6">
                  <c:v>9579983</c:v>
                </c:pt>
                <c:pt idx="7">
                  <c:v>9680534</c:v>
                </c:pt>
                <c:pt idx="8">
                  <c:v>9780743</c:v>
                </c:pt>
                <c:pt idx="9">
                  <c:v>9880505</c:v>
                </c:pt>
                <c:pt idx="10">
                  <c:v>9930374</c:v>
                </c:pt>
              </c:numCache>
            </c:numRef>
          </c:val>
        </c:ser>
        <c:dLbls>
          <c:showLegendKey val="0"/>
          <c:showVal val="0"/>
          <c:showCatName val="0"/>
          <c:showSerName val="0"/>
          <c:showPercent val="0"/>
          <c:showBubbleSize val="0"/>
        </c:dLbls>
        <c:gapWidth val="39"/>
        <c:axId val="877120936"/>
        <c:axId val="877121328"/>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III.1.3.Afil.SFSPob.Nac.!$A$4:$A$16</c:f>
              <c:strCache>
                <c:ptCount val="11"/>
                <c:pt idx="0">
                  <c:v>2005</c:v>
                </c:pt>
                <c:pt idx="1">
                  <c:v>2006</c:v>
                </c:pt>
                <c:pt idx="2">
                  <c:v>2007</c:v>
                </c:pt>
                <c:pt idx="3">
                  <c:v>2008</c:v>
                </c:pt>
                <c:pt idx="4">
                  <c:v>2009</c:v>
                </c:pt>
                <c:pt idx="5">
                  <c:v>2010</c:v>
                </c:pt>
                <c:pt idx="6">
                  <c:v>2011</c:v>
                </c:pt>
                <c:pt idx="7">
                  <c:v>2012</c:v>
                </c:pt>
                <c:pt idx="8">
                  <c:v>2013</c:v>
                </c:pt>
                <c:pt idx="9">
                  <c:v>2014</c:v>
                </c:pt>
                <c:pt idx="10">
                  <c:v>Jun.15</c:v>
                </c:pt>
              </c:strCache>
            </c:strRef>
          </c:cat>
          <c:val>
            <c:numRef>
              <c:f>III.1.3.Afil.SFSPob.Nac.!$D$4:$D$16</c:f>
              <c:numCache>
                <c:formatCode>0.0%</c:formatCode>
                <c:ptCount val="11"/>
                <c:pt idx="0">
                  <c:v>2.8252668556615505E-2</c:v>
                </c:pt>
                <c:pt idx="1">
                  <c:v>5.666033384228137E-2</c:v>
                </c:pt>
                <c:pt idx="2">
                  <c:v>0.27891477793829389</c:v>
                </c:pt>
                <c:pt idx="3">
                  <c:v>0.31444433389841159</c:v>
                </c:pt>
                <c:pt idx="4">
                  <c:v>0.37474253488447723</c:v>
                </c:pt>
                <c:pt idx="5">
                  <c:v>0.46472774705832459</c:v>
                </c:pt>
                <c:pt idx="6">
                  <c:v>0.47500877611160686</c:v>
                </c:pt>
                <c:pt idx="7">
                  <c:v>0.51882106916829174</c:v>
                </c:pt>
                <c:pt idx="8">
                  <c:v>0.57647276899106747</c:v>
                </c:pt>
                <c:pt idx="9">
                  <c:v>0.6262448123856017</c:v>
                </c:pt>
                <c:pt idx="10">
                  <c:v>0.64035010161752215</c:v>
                </c:pt>
              </c:numCache>
            </c:numRef>
          </c:val>
          <c:smooth val="0"/>
        </c:ser>
        <c:dLbls>
          <c:showLegendKey val="0"/>
          <c:showVal val="0"/>
          <c:showCatName val="0"/>
          <c:showSerName val="0"/>
          <c:showPercent val="0"/>
          <c:showBubbleSize val="0"/>
        </c:dLbls>
        <c:marker val="1"/>
        <c:smooth val="0"/>
        <c:axId val="877122112"/>
        <c:axId val="877121720"/>
      </c:lineChart>
      <c:catAx>
        <c:axId val="877120936"/>
        <c:scaling>
          <c:orientation val="minMax"/>
        </c:scaling>
        <c:delete val="0"/>
        <c:axPos val="b"/>
        <c:numFmt formatCode="General" sourceLinked="0"/>
        <c:majorTickMark val="none"/>
        <c:minorTickMark val="none"/>
        <c:tickLblPos val="nextTo"/>
        <c:txPr>
          <a:bodyPr/>
          <a:lstStyle/>
          <a:p>
            <a:pPr>
              <a:defRPr sz="1800"/>
            </a:pPr>
            <a:endParaRPr lang="es-ES"/>
          </a:p>
        </c:txPr>
        <c:crossAx val="877121328"/>
        <c:crosses val="autoZero"/>
        <c:auto val="1"/>
        <c:lblAlgn val="ctr"/>
        <c:lblOffset val="100"/>
        <c:noMultiLvlLbl val="0"/>
      </c:catAx>
      <c:valAx>
        <c:axId val="877121328"/>
        <c:scaling>
          <c:orientation val="minMax"/>
        </c:scaling>
        <c:delete val="0"/>
        <c:axPos val="l"/>
        <c:numFmt formatCode="#,##0_);[Red]\(#,##0\)" sourceLinked="1"/>
        <c:majorTickMark val="none"/>
        <c:minorTickMark val="none"/>
        <c:tickLblPos val="nextTo"/>
        <c:txPr>
          <a:bodyPr/>
          <a:lstStyle/>
          <a:p>
            <a:pPr>
              <a:defRPr sz="1200"/>
            </a:pPr>
            <a:endParaRPr lang="es-ES"/>
          </a:p>
        </c:txPr>
        <c:crossAx val="877120936"/>
        <c:crosses val="autoZero"/>
        <c:crossBetween val="between"/>
      </c:valAx>
      <c:valAx>
        <c:axId val="877121720"/>
        <c:scaling>
          <c:orientation val="minMax"/>
          <c:max val="1"/>
        </c:scaling>
        <c:delete val="0"/>
        <c:axPos val="r"/>
        <c:numFmt formatCode="0.0%" sourceLinked="1"/>
        <c:majorTickMark val="out"/>
        <c:minorTickMark val="none"/>
        <c:tickLblPos val="nextTo"/>
        <c:txPr>
          <a:bodyPr/>
          <a:lstStyle/>
          <a:p>
            <a:pPr>
              <a:defRPr sz="1200"/>
            </a:pPr>
            <a:endParaRPr lang="es-ES"/>
          </a:p>
        </c:txPr>
        <c:crossAx val="877122112"/>
        <c:crosses val="max"/>
        <c:crossBetween val="between"/>
      </c:valAx>
      <c:catAx>
        <c:axId val="877122112"/>
        <c:scaling>
          <c:orientation val="minMax"/>
        </c:scaling>
        <c:delete val="1"/>
        <c:axPos val="b"/>
        <c:numFmt formatCode="General" sourceLinked="1"/>
        <c:majorTickMark val="out"/>
        <c:minorTickMark val="none"/>
        <c:tickLblPos val="nextTo"/>
        <c:crossAx val="877121720"/>
        <c:crosses val="autoZero"/>
        <c:auto val="1"/>
        <c:lblAlgn val="ctr"/>
        <c:lblOffset val="100"/>
        <c:noMultiLvlLbl val="0"/>
      </c:catAx>
    </c:plotArea>
    <c:legend>
      <c:legendPos val="t"/>
      <c:layout>
        <c:manualLayout>
          <c:xMode val="edge"/>
          <c:yMode val="edge"/>
          <c:x val="0.31835316219721033"/>
          <c:y val="7.2909572777144049E-2"/>
          <c:w val="0.34152028152573005"/>
          <c:h val="4.653988189647893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0.1922819946518404"/>
          <c:y val="7.9817225715919551E-2"/>
          <c:w val="0.6463860398999558"/>
          <c:h val="0.8098600437809779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dPt>
          <c:dPt>
            <c:idx val="5"/>
            <c:invertIfNegative val="0"/>
            <c:bubble3D val="0"/>
            <c:spPr>
              <a:solidFill>
                <a:srgbClr val="00B050"/>
              </a:solidFill>
            </c:spPr>
          </c:dPt>
          <c:dPt>
            <c:idx val="12"/>
            <c:invertIfNegative val="0"/>
            <c:bubble3D val="0"/>
            <c:spPr>
              <a:solidFill>
                <a:schemeClr val="tx2">
                  <a:lumMod val="60000"/>
                  <a:lumOff val="40000"/>
                </a:schemeClr>
              </a:solidFill>
            </c:spPr>
          </c:dPt>
          <c:dPt>
            <c:idx val="13"/>
            <c:invertIfNegative val="0"/>
            <c:bubble3D val="0"/>
            <c:spPr>
              <a:solidFill>
                <a:schemeClr val="tx2">
                  <a:lumMod val="60000"/>
                  <a:lumOff val="40000"/>
                </a:schemeClr>
              </a:solidFill>
            </c:spPr>
          </c:dPt>
          <c:dPt>
            <c:idx val="14"/>
            <c:invertIfNegative val="0"/>
            <c:bubble3D val="0"/>
            <c:spPr>
              <a:solidFill>
                <a:srgbClr val="00B050"/>
              </a:solidFill>
            </c:spPr>
          </c:dPt>
          <c:dPt>
            <c:idx val="17"/>
            <c:invertIfNegative val="0"/>
            <c:bubble3D val="0"/>
            <c:spPr>
              <a:solidFill>
                <a:srgbClr val="00B050"/>
              </a:solidFill>
            </c:spPr>
          </c:dPt>
          <c:dPt>
            <c:idx val="18"/>
            <c:invertIfNegative val="0"/>
            <c:bubble3D val="0"/>
            <c:spPr>
              <a:solidFill>
                <a:srgbClr val="00B050"/>
              </a:solidFill>
            </c:spPr>
          </c:dPt>
          <c:dPt>
            <c:idx val="19"/>
            <c:invertIfNegative val="0"/>
            <c:bubble3D val="0"/>
            <c:spPr>
              <a:solidFill>
                <a:srgbClr val="00B05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ARS'!$I$4:$I$25</c:f>
              <c:strCache>
                <c:ptCount val="22"/>
                <c:pt idx="0">
                  <c:v>Humano</c:v>
                </c:pt>
                <c:pt idx="1">
                  <c:v>Palic Salud</c:v>
                </c:pt>
                <c:pt idx="2">
                  <c:v>SENASA RC</c:v>
                </c:pt>
                <c:pt idx="3">
                  <c:v>Universal</c:v>
                </c:pt>
                <c:pt idx="4">
                  <c:v>Futuro</c:v>
                </c:pt>
                <c:pt idx="5">
                  <c:v>SEMMA</c:v>
                </c:pt>
                <c:pt idx="6">
                  <c:v>Salud Segura</c:v>
                </c:pt>
                <c:pt idx="7">
                  <c:v>Dr. Yunen</c:v>
                </c:pt>
                <c:pt idx="8">
                  <c:v>Grupo Med. Asociado</c:v>
                </c:pt>
                <c:pt idx="9">
                  <c:v>Serv. de Igualas Méd. Dr. Abel</c:v>
                </c:pt>
                <c:pt idx="10">
                  <c:v>Renacer</c:v>
                </c:pt>
                <c:pt idx="11">
                  <c:v>Adm. Serv. Médicos Amor y Paz</c:v>
                </c:pt>
                <c:pt idx="12">
                  <c:v>Asoc. de Profesionales de la Salud</c:v>
                </c:pt>
                <c:pt idx="13">
                  <c:v>Constitución (ex IGMAN)</c:v>
                </c:pt>
                <c:pt idx="14">
                  <c:v>Reservas</c:v>
                </c:pt>
                <c:pt idx="15">
                  <c:v>METASALUD</c:v>
                </c:pt>
                <c:pt idx="16">
                  <c:v>Monumental </c:v>
                </c:pt>
                <c:pt idx="17">
                  <c:v>CMD</c:v>
                </c:pt>
                <c:pt idx="18">
                  <c:v>Plan Salud </c:v>
                </c:pt>
                <c:pt idx="19">
                  <c:v>FFAA</c:v>
                </c:pt>
                <c:pt idx="20">
                  <c:v>ISSAPOL</c:v>
                </c:pt>
                <c:pt idx="21">
                  <c:v>SEMUNASED</c:v>
                </c:pt>
              </c:strCache>
            </c:strRef>
          </c:cat>
          <c:val>
            <c:numRef>
              <c:f>'IV.2.5.Pagos x ARS'!$J$4:$J$25</c:f>
              <c:numCache>
                <c:formatCode>_(* #,##0.00_);_(* \(#,##0.00\);_(* "-"??_);_(@_)</c:formatCode>
                <c:ptCount val="22"/>
                <c:pt idx="0">
                  <c:v>992613546.86000001</c:v>
                </c:pt>
                <c:pt idx="1">
                  <c:v>446303111.13</c:v>
                </c:pt>
                <c:pt idx="2">
                  <c:v>409608788.61000001</c:v>
                </c:pt>
                <c:pt idx="3">
                  <c:v>339665005.64999998</c:v>
                </c:pt>
                <c:pt idx="4">
                  <c:v>117806787.75</c:v>
                </c:pt>
                <c:pt idx="5">
                  <c:v>109029930.39</c:v>
                </c:pt>
                <c:pt idx="6">
                  <c:v>66951608.369999997</c:v>
                </c:pt>
                <c:pt idx="7">
                  <c:v>48996392.100000001</c:v>
                </c:pt>
                <c:pt idx="8">
                  <c:v>44156390.130000003</c:v>
                </c:pt>
                <c:pt idx="9">
                  <c:v>44608879.469999999</c:v>
                </c:pt>
                <c:pt idx="10">
                  <c:v>41851642.649999999</c:v>
                </c:pt>
                <c:pt idx="11">
                  <c:v>30120584.190000001</c:v>
                </c:pt>
                <c:pt idx="12">
                  <c:v>29140616.82</c:v>
                </c:pt>
                <c:pt idx="13">
                  <c:v>22838959.989999998</c:v>
                </c:pt>
                <c:pt idx="14">
                  <c:v>21887790.489999998</c:v>
                </c:pt>
                <c:pt idx="15">
                  <c:v>19445835.600000001</c:v>
                </c:pt>
                <c:pt idx="16">
                  <c:v>19404477.149999999</c:v>
                </c:pt>
                <c:pt idx="17">
                  <c:v>17628422.91</c:v>
                </c:pt>
                <c:pt idx="18">
                  <c:v>6940204.3499999996</c:v>
                </c:pt>
                <c:pt idx="19">
                  <c:v>3196216.65</c:v>
                </c:pt>
                <c:pt idx="20">
                  <c:v>2585703.1800000002</c:v>
                </c:pt>
                <c:pt idx="21">
                  <c:v>1986246.39</c:v>
                </c:pt>
              </c:numCache>
            </c:numRef>
          </c:val>
        </c:ser>
        <c:dLbls>
          <c:showLegendKey val="0"/>
          <c:showVal val="0"/>
          <c:showCatName val="0"/>
          <c:showSerName val="0"/>
          <c:showPercent val="0"/>
          <c:showBubbleSize val="0"/>
        </c:dLbls>
        <c:gapWidth val="36"/>
        <c:shape val="cylinder"/>
        <c:axId val="293524088"/>
        <c:axId val="293524480"/>
        <c:axId val="0"/>
      </c:bar3DChart>
      <c:catAx>
        <c:axId val="293524088"/>
        <c:scaling>
          <c:orientation val="minMax"/>
        </c:scaling>
        <c:delete val="0"/>
        <c:axPos val="l"/>
        <c:numFmt formatCode="General" sourceLinked="1"/>
        <c:majorTickMark val="none"/>
        <c:minorTickMark val="none"/>
        <c:tickLblPos val="nextTo"/>
        <c:txPr>
          <a:bodyPr rot="-2700000" vert="horz"/>
          <a:lstStyle/>
          <a:p>
            <a:pPr>
              <a:defRPr lang="en-US" sz="1200"/>
            </a:pPr>
            <a:endParaRPr lang="es-ES"/>
          </a:p>
        </c:txPr>
        <c:crossAx val="293524480"/>
        <c:crosses val="autoZero"/>
        <c:auto val="1"/>
        <c:lblAlgn val="ctr"/>
        <c:lblOffset val="100"/>
        <c:noMultiLvlLbl val="0"/>
      </c:catAx>
      <c:valAx>
        <c:axId val="293524480"/>
        <c:scaling>
          <c:orientation val="minMax"/>
        </c:scaling>
        <c:delete val="1"/>
        <c:axPos val="b"/>
        <c:numFmt formatCode="_(* #,##0.00_);_(* \(#,##0.00\);_(* &quot;-&quot;??_);_(@_)" sourceLinked="1"/>
        <c:majorTickMark val="out"/>
        <c:minorTickMark val="none"/>
        <c:tickLblPos val="nextTo"/>
        <c:crossAx val="293524088"/>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Distribución de las Inversiones de la  Cuenta Cuidado de la Salud por Instrumento</a:t>
            </a:r>
          </a:p>
        </c:rich>
      </c:tx>
      <c:layout>
        <c:manualLayout>
          <c:xMode val="edge"/>
          <c:yMode val="edge"/>
          <c:x val="0.13165246184833407"/>
          <c:y val="3.145019872875078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5321649029279508"/>
          <c:y val="0.35774417003994724"/>
          <c:w val="0.4838480837739717"/>
          <c:h val="0.43481951415202114"/>
        </c:manualLayout>
      </c:layout>
      <c:pie3DChart>
        <c:varyColors val="1"/>
        <c:ser>
          <c:idx val="0"/>
          <c:order val="0"/>
          <c:tx>
            <c:strRef>
              <c:f>'IV.2.6.INV_SFS x Entidad'!$B$3</c:f>
              <c:strCache>
                <c:ptCount val="1"/>
                <c:pt idx="0">
                  <c:v> Total Invertido</c:v>
                </c:pt>
              </c:strCache>
            </c:strRef>
          </c:tx>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1.1420096803509182E-2"/>
                  <c:y val="-9.8418294023490966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69FC51D7-008F-45FB-99F5-F81D6CD89F71}" type="CATEGORYNAME">
                      <a:rPr lang="en-US"/>
                      <a:pPr>
                        <a:defRPr sz="1600"/>
                      </a:pPr>
                      <a:t>[NOMBRE DE CATEGORÍA]</a:t>
                    </a:fld>
                    <a:r>
                      <a:rPr lang="en-US" baseline="0"/>
                      <a:t> </a:t>
                    </a:r>
                    <a:fld id="{4A878F0E-3D82-459D-950D-C453455DD7B7}" type="VALUE">
                      <a:rPr lang="en-US" baseline="0"/>
                      <a:pPr>
                        <a:defRPr sz="1600"/>
                      </a:pPr>
                      <a:t>[VALOR]</a:t>
                    </a:fld>
                    <a:r>
                      <a:rPr lang="en-US" baseline="0"/>
                      <a:t>                           </a:t>
                    </a:r>
                    <a:fld id="{BE657A84-49A8-4FE6-A878-CFA2AA25F128}" type="PERCENTAGE">
                      <a:rPr lang="en-US" baseline="0"/>
                      <a:pPr>
                        <a:defRPr sz="1600"/>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1.557285927751254E-2"/>
                  <c:y val="-1.80433539043066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BD0B146-B642-43C8-8059-94A42F071D48}" type="CATEGORYNAME">
                      <a:rPr lang="en-US"/>
                      <a:pPr>
                        <a:defRPr sz="1600">
                          <a:solidFill>
                            <a:schemeClr val="accent1"/>
                          </a:solidFill>
                        </a:defRPr>
                      </a:pPr>
                      <a:t>[NOMBRE DE CATEGORÍA]</a:t>
                    </a:fld>
                    <a:r>
                      <a:rPr lang="en-US" baseline="0"/>
                      <a:t>                </a:t>
                    </a:r>
                    <a:fld id="{630034AB-1033-4150-9C1B-76AD66DD4F05}" type="VALUE">
                      <a:rPr lang="en-US" baseline="0"/>
                      <a:pPr>
                        <a:defRPr sz="1600">
                          <a:solidFill>
                            <a:schemeClr val="accent1"/>
                          </a:solidFill>
                        </a:defRPr>
                      </a:pPr>
                      <a:t>[VALOR]</a:t>
                    </a:fld>
                    <a:r>
                      <a:rPr lang="en-US" baseline="0"/>
                      <a:t>                   </a:t>
                    </a:r>
                    <a:fld id="{9229A1F0-15E0-46E8-B346-CB07C75DBB39}"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8.6169821335569247E-2"/>
                  <c:y val="-2.460457350587274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75000"/>
                          </a:schemeClr>
                        </a:solidFill>
                        <a:latin typeface="+mn-lt"/>
                        <a:ea typeface="+mn-ea"/>
                        <a:cs typeface="+mn-cs"/>
                      </a:defRPr>
                    </a:pPr>
                    <a:fld id="{A04CF839-85CE-415B-9164-6FD88C171D56}" type="CATEGORYNAME">
                      <a:rPr lang="en-US">
                        <a:solidFill>
                          <a:schemeClr val="accent3">
                            <a:lumMod val="75000"/>
                          </a:schemeClr>
                        </a:solidFill>
                      </a:rPr>
                      <a:pPr>
                        <a:defRPr sz="1600">
                          <a:solidFill>
                            <a:schemeClr val="accent3">
                              <a:lumMod val="75000"/>
                            </a:schemeClr>
                          </a:solidFill>
                        </a:defRPr>
                      </a:pPr>
                      <a:t>[NOMBRE DE CATEGORÍA]</a:t>
                    </a:fld>
                    <a:r>
                      <a:rPr lang="en-US" baseline="0">
                        <a:solidFill>
                          <a:schemeClr val="accent3">
                            <a:lumMod val="75000"/>
                          </a:schemeClr>
                        </a:solidFill>
                      </a:rPr>
                      <a:t> </a:t>
                    </a:r>
                  </a:p>
                  <a:p>
                    <a:pPr>
                      <a:defRPr sz="1600">
                        <a:solidFill>
                          <a:schemeClr val="accent3">
                            <a:lumMod val="75000"/>
                          </a:schemeClr>
                        </a:solidFill>
                      </a:defRPr>
                    </a:pPr>
                    <a:fld id="{4D8B5E52-A18B-46C8-B149-68C38E2F4127}" type="VALUE">
                      <a:rPr lang="en-US" baseline="0">
                        <a:solidFill>
                          <a:schemeClr val="accent3">
                            <a:lumMod val="75000"/>
                          </a:schemeClr>
                        </a:solidFill>
                      </a:rPr>
                      <a:pPr>
                        <a:defRPr sz="1600">
                          <a:solidFill>
                            <a:schemeClr val="accent3">
                              <a:lumMod val="75000"/>
                            </a:schemeClr>
                          </a:solidFill>
                        </a:defRPr>
                      </a:pPr>
                      <a:t>[VALOR]</a:t>
                    </a:fld>
                    <a:r>
                      <a:rPr lang="en-US" baseline="0">
                        <a:solidFill>
                          <a:schemeClr val="accent3">
                            <a:lumMod val="75000"/>
                          </a:schemeClr>
                        </a:solidFill>
                      </a:rPr>
                      <a:t> </a:t>
                    </a:r>
                  </a:p>
                  <a:p>
                    <a:pPr>
                      <a:defRPr sz="1600">
                        <a:solidFill>
                          <a:schemeClr val="accent3">
                            <a:lumMod val="75000"/>
                          </a:schemeClr>
                        </a:solidFill>
                      </a:defRPr>
                    </a:pPr>
                    <a:fld id="{1C0C3A8A-2BD2-4E27-8E36-D765BE9BF9D3}" type="PERCENTAGE">
                      <a:rPr lang="en-US" baseline="0">
                        <a:solidFill>
                          <a:schemeClr val="accent3">
                            <a:lumMod val="75000"/>
                          </a:schemeClr>
                        </a:solidFill>
                      </a:rPr>
                      <a:pPr>
                        <a:defRPr sz="1600">
                          <a:solidFill>
                            <a:schemeClr val="accent3">
                              <a:lumMod val="75000"/>
                            </a:schemeClr>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75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Entidad'!$A$4:$A$6</c:f>
              <c:strCache>
                <c:ptCount val="3"/>
                <c:pt idx="0">
                  <c:v>Certificados Financieros</c:v>
                </c:pt>
                <c:pt idx="1">
                  <c:v>Títulos Desmaterializados del BC</c:v>
                </c:pt>
                <c:pt idx="2">
                  <c:v>Títulos Desmaterializados de Pacto de Recompra (REPO)</c:v>
                </c:pt>
              </c:strCache>
            </c:strRef>
          </c:cat>
          <c:val>
            <c:numRef>
              <c:f>'IV.2.6.INV_SFS x Entidad'!$B$4:$B$6</c:f>
              <c:numCache>
                <c:formatCode>_(* #,##0.00_);_(* \(#,##0.00\);_(* "-"??_);_(@_)</c:formatCode>
                <c:ptCount val="3"/>
                <c:pt idx="0">
                  <c:v>3190533299.5500002</c:v>
                </c:pt>
                <c:pt idx="1">
                  <c:v>2003760000</c:v>
                </c:pt>
                <c:pt idx="2">
                  <c:v>897183190.65999997</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444044017218554"/>
          <c:y val="5.5743111889498105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5738847830027411"/>
          <c:y val="0.29760713234951464"/>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2.5694001168125865E-2"/>
                  <c:y val="1.9487233703662229E-2"/>
                </c:manualLayout>
              </c:layout>
              <c:tx>
                <c:rich>
                  <a:bodyPr wrap="square" lIns="38100" tIns="19050" rIns="38100" bIns="19050" anchor="ctr">
                    <a:spAutoFit/>
                  </a:bodyPr>
                  <a:lstStyle/>
                  <a:p>
                    <a:pPr>
                      <a:defRPr sz="1600" b="1">
                        <a:solidFill>
                          <a:schemeClr val="accent5">
                            <a:lumMod val="75000"/>
                          </a:schemeClr>
                        </a:solidFill>
                      </a:defRPr>
                    </a:pPr>
                    <a:fld id="{73A698BE-4C2C-4B87-A27B-E3D691075888}" type="CATEGORYNAME">
                      <a:rPr lang="en-US" sz="1600" b="1">
                        <a:solidFill>
                          <a:schemeClr val="accent5">
                            <a:lumMod val="75000"/>
                          </a:schemeClr>
                        </a:solidFill>
                      </a:rPr>
                      <a:pPr>
                        <a:defRPr sz="1600" b="1">
                          <a:solidFill>
                            <a:schemeClr val="accent5">
                              <a:lumMod val="75000"/>
                            </a:schemeClr>
                          </a:solidFill>
                        </a:defRPr>
                      </a:pPr>
                      <a:t>[NOMBRE DE CATEGORÍA]</a:t>
                    </a:fld>
                    <a:r>
                      <a:rPr lang="en-US" sz="1600" b="1" baseline="0">
                        <a:solidFill>
                          <a:schemeClr val="accent5">
                            <a:lumMod val="75000"/>
                          </a:schemeClr>
                        </a:solidFill>
                      </a:rPr>
                      <a:t> </a:t>
                    </a:r>
                    <a:fld id="{96E559AF-91C2-4911-93E1-6A04DC386639}" type="VALUE">
                      <a:rPr lang="en-US" sz="1600" b="1" baseline="0">
                        <a:solidFill>
                          <a:schemeClr val="accent5">
                            <a:lumMod val="75000"/>
                          </a:schemeClr>
                        </a:solidFill>
                      </a:rPr>
                      <a:pPr>
                        <a:defRPr sz="1600" b="1">
                          <a:solidFill>
                            <a:schemeClr val="accent5">
                              <a:lumMod val="75000"/>
                            </a:schemeClr>
                          </a:solidFill>
                        </a:defRPr>
                      </a:pPr>
                      <a:t>[VALOR]</a:t>
                    </a:fld>
                    <a:endParaRPr lang="en-US" sz="1600" b="1" baseline="0">
                      <a:solidFill>
                        <a:schemeClr val="accent5">
                          <a:lumMod val="75000"/>
                        </a:schemeClr>
                      </a:solidFill>
                    </a:endParaRPr>
                  </a:p>
                  <a:p>
                    <a:pPr>
                      <a:defRPr sz="1600" b="1">
                        <a:solidFill>
                          <a:schemeClr val="accent5">
                            <a:lumMod val="75000"/>
                          </a:schemeClr>
                        </a:solidFill>
                      </a:defRPr>
                    </a:pPr>
                    <a:r>
                      <a:rPr lang="en-US" sz="1600" b="1" baseline="0">
                        <a:solidFill>
                          <a:schemeClr val="accent5">
                            <a:lumMod val="75000"/>
                          </a:schemeClr>
                        </a:solidFill>
                      </a:rPr>
                      <a:t> </a:t>
                    </a:r>
                    <a:fld id="{302B6464-47A8-40E6-8A72-953E7E7F7668}" type="PERCENTAGE">
                      <a:rPr lang="en-US" sz="1600" b="1" baseline="0">
                        <a:solidFill>
                          <a:schemeClr val="accent5">
                            <a:lumMod val="75000"/>
                          </a:schemeClr>
                        </a:solidFill>
                      </a:rPr>
                      <a:pPr>
                        <a:defRPr sz="1600" b="1">
                          <a:solidFill>
                            <a:schemeClr val="accent5">
                              <a:lumMod val="75000"/>
                            </a:schemeClr>
                          </a:solidFill>
                        </a:defRPr>
                      </a:pPr>
                      <a:t>[PORCENTAJE]</a:t>
                    </a:fld>
                    <a:endParaRPr lang="en-US" sz="1600" b="1" baseline="0">
                      <a:solidFill>
                        <a:schemeClr val="accent5">
                          <a:lumMod val="75000"/>
                        </a:schemeClr>
                      </a:solidFill>
                    </a:endParaRP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2.6440417976972056E-2"/>
                  <c:y val="2.8683251595743538E-2"/>
                </c:manualLayout>
              </c:layout>
              <c:tx>
                <c:rich>
                  <a:bodyPr wrap="square" lIns="38100" tIns="19050" rIns="38100" bIns="19050" anchor="ctr">
                    <a:spAutoFit/>
                  </a:bodyPr>
                  <a:lstStyle/>
                  <a:p>
                    <a:pPr>
                      <a:defRPr sz="1600" b="1">
                        <a:solidFill>
                          <a:schemeClr val="accent6">
                            <a:lumMod val="75000"/>
                          </a:schemeClr>
                        </a:solidFill>
                      </a:defRPr>
                    </a:pPr>
                    <a:fld id="{871483A1-02F7-4F9B-893C-0365FD9D2AD1}" type="CATEGORYNAME">
                      <a:rPr lang="en-US" sz="1600" b="1">
                        <a:solidFill>
                          <a:schemeClr val="accent6">
                            <a:lumMod val="75000"/>
                          </a:schemeClr>
                        </a:solidFill>
                      </a:rPr>
                      <a:pPr>
                        <a:defRPr sz="1600" b="1">
                          <a:solidFill>
                            <a:schemeClr val="accent6">
                              <a:lumMod val="75000"/>
                            </a:schemeClr>
                          </a:solidFill>
                        </a:defRPr>
                      </a:pPr>
                      <a:t>[NOMBRE DE CATEGORÍA]</a:t>
                    </a:fld>
                    <a:r>
                      <a:rPr lang="en-US" sz="1600" b="1" baseline="0">
                        <a:solidFill>
                          <a:schemeClr val="accent6">
                            <a:lumMod val="75000"/>
                          </a:schemeClr>
                        </a:solidFill>
                      </a:rPr>
                      <a:t> </a:t>
                    </a:r>
                    <a:fld id="{EAE5D7E7-8F4A-40F6-842D-8681081E0FC9}" type="VALUE">
                      <a:rPr lang="en-US" sz="1600" b="1" baseline="0">
                        <a:solidFill>
                          <a:schemeClr val="accent6">
                            <a:lumMod val="75000"/>
                          </a:schemeClr>
                        </a:solidFill>
                      </a:rPr>
                      <a:pPr>
                        <a:defRPr sz="1600" b="1">
                          <a:solidFill>
                            <a:schemeClr val="accent6">
                              <a:lumMod val="75000"/>
                            </a:schemeClr>
                          </a:solidFill>
                        </a:defRPr>
                      </a:pPr>
                      <a:t>[VALOR]</a:t>
                    </a:fld>
                    <a:r>
                      <a:rPr lang="en-US" sz="1600" b="1" baseline="0">
                        <a:solidFill>
                          <a:schemeClr val="accent6">
                            <a:lumMod val="75000"/>
                          </a:schemeClr>
                        </a:solidFill>
                      </a:rPr>
                      <a:t> </a:t>
                    </a:r>
                  </a:p>
                  <a:p>
                    <a:pPr>
                      <a:defRPr sz="1600" b="1">
                        <a:solidFill>
                          <a:schemeClr val="accent6">
                            <a:lumMod val="75000"/>
                          </a:schemeClr>
                        </a:solidFill>
                      </a:defRPr>
                    </a:pPr>
                    <a:r>
                      <a:rPr lang="en-US" sz="1600"/>
                      <a:t>11.13%</a:t>
                    </a: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8.8689113699913238E-2"/>
                  <c:y val="-9.2911678192930548E-3"/>
                </c:manualLayout>
              </c:layout>
              <c:tx>
                <c:rich>
                  <a:bodyPr wrap="square" lIns="38100" tIns="19050" rIns="38100" bIns="19050" anchor="ctr">
                    <a:spAutoFit/>
                  </a:bodyPr>
                  <a:lstStyle/>
                  <a:p>
                    <a:pPr>
                      <a:defRPr sz="1600" b="1">
                        <a:solidFill>
                          <a:schemeClr val="accent3">
                            <a:lumMod val="50000"/>
                          </a:schemeClr>
                        </a:solidFill>
                      </a:defRPr>
                    </a:pPr>
                    <a:fld id="{5288538B-8767-4F0B-B04E-71BA664C8A1C}" type="CATEGORYNAME">
                      <a:rPr lang="en-US" sz="1600" b="1">
                        <a:solidFill>
                          <a:schemeClr val="accent3">
                            <a:lumMod val="50000"/>
                          </a:schemeClr>
                        </a:solidFill>
                      </a:rPr>
                      <a:pPr>
                        <a:defRPr sz="1600" b="1">
                          <a:solidFill>
                            <a:schemeClr val="accent3">
                              <a:lumMod val="50000"/>
                            </a:schemeClr>
                          </a:solidFill>
                        </a:defRPr>
                      </a:pPr>
                      <a:t>[NOMBRE DE CATEGORÍA]</a:t>
                    </a:fld>
                    <a:r>
                      <a:rPr lang="en-US" sz="1600" b="1" baseline="0">
                        <a:solidFill>
                          <a:schemeClr val="accent3">
                            <a:lumMod val="50000"/>
                          </a:schemeClr>
                        </a:solidFill>
                      </a:rPr>
                      <a:t> </a:t>
                    </a:r>
                    <a:fld id="{ADBA7D7E-E120-4427-9FCB-9DBC87E2373D}" type="VALUE">
                      <a:rPr lang="en-US" sz="1600" b="1" baseline="0">
                        <a:solidFill>
                          <a:schemeClr val="accent3">
                            <a:lumMod val="50000"/>
                          </a:schemeClr>
                        </a:solidFill>
                      </a:rPr>
                      <a:pPr>
                        <a:defRPr sz="1600" b="1">
                          <a:solidFill>
                            <a:schemeClr val="accent3">
                              <a:lumMod val="50000"/>
                            </a:schemeClr>
                          </a:solidFill>
                        </a:defRPr>
                      </a:pPr>
                      <a:t>[VALOR]</a:t>
                    </a:fld>
                    <a:r>
                      <a:rPr lang="en-US" sz="1600" b="1" baseline="0">
                        <a:solidFill>
                          <a:schemeClr val="accent3">
                            <a:lumMod val="50000"/>
                          </a:schemeClr>
                        </a:solidFill>
                      </a:rPr>
                      <a:t> </a:t>
                    </a:r>
                  </a:p>
                  <a:p>
                    <a:pPr>
                      <a:defRPr sz="1600" b="1">
                        <a:solidFill>
                          <a:schemeClr val="accent3">
                            <a:lumMod val="50000"/>
                          </a:schemeClr>
                        </a:solidFill>
                      </a:defRPr>
                    </a:pPr>
                    <a:fld id="{CAEBBFE1-85FB-4657-832A-81C8683699E5}" type="PERCENTAGE">
                      <a:rPr lang="en-US" sz="1600" b="1" baseline="0">
                        <a:solidFill>
                          <a:schemeClr val="accent3">
                            <a:lumMod val="50000"/>
                          </a:schemeClr>
                        </a:solidFill>
                      </a:rPr>
                      <a:pPr>
                        <a:defRPr sz="1600" b="1">
                          <a:solidFill>
                            <a:schemeClr val="accent3">
                              <a:lumMod val="50000"/>
                            </a:schemeClr>
                          </a:solidFill>
                        </a:defRPr>
                      </a:pPr>
                      <a:t>[PORCENTAJE]</a:t>
                    </a:fld>
                    <a:endParaRPr lang="es-ES"/>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wrap="square" lIns="38100" tIns="19050" rIns="38100" bIns="19050" anchor="ctr">
                <a:spAutoFit/>
              </a:bodyPr>
              <a:lstStyle/>
              <a:p>
                <a:pPr>
                  <a:defRPr sz="1600"/>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cuentas'!$A$3:$A$11</c:f>
              <c:strCache>
                <c:ptCount val="3"/>
                <c:pt idx="0">
                  <c:v>Cuidado de la Salud</c:v>
                </c:pt>
                <c:pt idx="1">
                  <c:v>Estancias Infantiles</c:v>
                </c:pt>
                <c:pt idx="2">
                  <c:v>Pensionados de Hacienda</c:v>
                </c:pt>
              </c:strCache>
            </c:strRef>
          </c:cat>
          <c:val>
            <c:numRef>
              <c:f>'IV.2.7.INV_SFS x cuentas'!$B$3:$B$11</c:f>
              <c:numCache>
                <c:formatCode>_(* #,##0.00_);_(* \(#,##0.00\);_(* "-"??_);_(@_)</c:formatCode>
                <c:ptCount val="3"/>
                <c:pt idx="0">
                  <c:v>6091476490.21</c:v>
                </c:pt>
                <c:pt idx="1">
                  <c:v>778216421.92999995</c:v>
                </c:pt>
                <c:pt idx="2">
                  <c:v>121193360.09999999</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4752111122792823"/>
          <c:y val="2.596259088255886E-2"/>
        </c:manualLayout>
      </c:layout>
      <c:overlay val="0"/>
    </c:title>
    <c:autoTitleDeleted val="0"/>
    <c:plotArea>
      <c:layout>
        <c:manualLayout>
          <c:layoutTarget val="inner"/>
          <c:xMode val="edge"/>
          <c:yMode val="edge"/>
          <c:x val="2.2935268326320288E-2"/>
          <c:y val="0.12867822813318344"/>
          <c:w val="0.9518173260841517"/>
          <c:h val="0.64346232810556125"/>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'IV.2.8.Aport. GOB. y Pagos RS'!$A$4:$A$16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Ene-Jun.2015</c:v>
                </c:pt>
              </c:strCache>
            </c:strRef>
          </c:cat>
          <c:val>
            <c:numRef>
              <c:f>'IV.2.8.Aport. GOB. y Pagos RS'!$B$4:$B$16</c:f>
              <c:numCache>
                <c:formatCode>#,##0.00_);[Red]\(#,##0.00\)</c:formatCode>
                <c:ptCount val="13"/>
                <c:pt idx="0">
                  <c:v>50000000</c:v>
                </c:pt>
                <c:pt idx="1">
                  <c:v>100013332.31999999</c:v>
                </c:pt>
                <c:pt idx="2">
                  <c:v>604604920.63</c:v>
                </c:pt>
                <c:pt idx="3">
                  <c:v>724509996.65999997</c:v>
                </c:pt>
                <c:pt idx="4">
                  <c:v>1566425499.9599998</c:v>
                </c:pt>
                <c:pt idx="5">
                  <c:v>2203585531</c:v>
                </c:pt>
                <c:pt idx="6">
                  <c:v>3190675855.0100002</c:v>
                </c:pt>
                <c:pt idx="7">
                  <c:v>3736675849.46</c:v>
                </c:pt>
                <c:pt idx="8">
                  <c:v>4134675852</c:v>
                </c:pt>
                <c:pt idx="9">
                  <c:v>4599999999.96</c:v>
                </c:pt>
                <c:pt idx="10">
                  <c:v>5302610000</c:v>
                </c:pt>
                <c:pt idx="11">
                  <c:v>6839999499</c:v>
                </c:pt>
                <c:pt idx="12">
                  <c:v>3146732398</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'IV.2.8.Aport. GOB. y Pagos RS'!$A$4:$A$16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Ene-Jun.2015</c:v>
                </c:pt>
              </c:strCache>
            </c:strRef>
          </c:cat>
          <c:val>
            <c:numRef>
              <c:f>'IV.2.8.Aport. GOB. y Pagos RS'!$C$4:$C$16</c:f>
              <c:numCache>
                <c:formatCode>#,##0.00_);[Red]\(#,##0.00\)</c:formatCode>
                <c:ptCount val="13"/>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4363872025.0799999</c:v>
                </c:pt>
                <c:pt idx="9">
                  <c:v>4742082647.7799997</c:v>
                </c:pt>
                <c:pt idx="10">
                  <c:v>5215203784.9399996</c:v>
                </c:pt>
                <c:pt idx="11">
                  <c:v>7378610518.96</c:v>
                </c:pt>
                <c:pt idx="12">
                  <c:v>3102022919.7600002</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'IV.2.8.Aport. GOB. y Pagos RS'!$A$4:$A$16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Ene-Jun.2015</c:v>
                </c:pt>
              </c:strCache>
            </c:strRef>
          </c:cat>
          <c:val>
            <c:numRef>
              <c:f>'IV.2.8.Aport. GOB. y Pagos RS'!$D$4:$D$16</c:f>
              <c:numCache>
                <c:formatCode>#,##0.00_);[Red]\(#,##0.00\)</c:formatCode>
                <c:ptCount val="13"/>
                <c:pt idx="0">
                  <c:v>-652652.46999999881</c:v>
                </c:pt>
                <c:pt idx="1">
                  <c:v>-3800580.0600000024</c:v>
                </c:pt>
                <c:pt idx="2">
                  <c:v>400996005.94999999</c:v>
                </c:pt>
                <c:pt idx="3">
                  <c:v>-92258963.840000033</c:v>
                </c:pt>
                <c:pt idx="4">
                  <c:v>-12454550.300000191</c:v>
                </c:pt>
                <c:pt idx="5">
                  <c:v>-353184795.0999999</c:v>
                </c:pt>
                <c:pt idx="6">
                  <c:v>467338210.6500001</c:v>
                </c:pt>
                <c:pt idx="7">
                  <c:v>292295366.4800005</c:v>
                </c:pt>
                <c:pt idx="8">
                  <c:v>-229196173.07999992</c:v>
                </c:pt>
                <c:pt idx="9">
                  <c:v>-142082647.81999969</c:v>
                </c:pt>
                <c:pt idx="10">
                  <c:v>87406215.06000042</c:v>
                </c:pt>
                <c:pt idx="11">
                  <c:v>-538611019.96000004</c:v>
                </c:pt>
                <c:pt idx="12">
                  <c:v>44709478.239999771</c:v>
                </c:pt>
              </c:numCache>
            </c:numRef>
          </c:val>
        </c:ser>
        <c:dLbls>
          <c:showLegendKey val="0"/>
          <c:showVal val="0"/>
          <c:showCatName val="0"/>
          <c:showSerName val="0"/>
          <c:showPercent val="0"/>
          <c:showBubbleSize val="0"/>
        </c:dLbls>
        <c:gapWidth val="75"/>
        <c:overlap val="-25"/>
        <c:axId val="293525656"/>
        <c:axId val="293526440"/>
      </c:barChart>
      <c:catAx>
        <c:axId val="293525656"/>
        <c:scaling>
          <c:orientation val="minMax"/>
        </c:scaling>
        <c:delete val="0"/>
        <c:axPos val="b"/>
        <c:numFmt formatCode="General" sourceLinked="1"/>
        <c:majorTickMark val="none"/>
        <c:minorTickMark val="none"/>
        <c:tickLblPos val="low"/>
        <c:txPr>
          <a:bodyPr/>
          <a:lstStyle/>
          <a:p>
            <a:pPr>
              <a:defRPr sz="1400"/>
            </a:pPr>
            <a:endParaRPr lang="es-ES"/>
          </a:p>
        </c:txPr>
        <c:crossAx val="293526440"/>
        <c:crosses val="autoZero"/>
        <c:auto val="1"/>
        <c:lblAlgn val="ctr"/>
        <c:lblOffset val="100"/>
        <c:noMultiLvlLbl val="0"/>
      </c:catAx>
      <c:valAx>
        <c:axId val="293526440"/>
        <c:scaling>
          <c:orientation val="minMax"/>
        </c:scaling>
        <c:delete val="0"/>
        <c:axPos val="l"/>
        <c:numFmt formatCode="#,##0.00_);[Red]\(#,##0.00\)" sourceLinked="1"/>
        <c:majorTickMark val="none"/>
        <c:minorTickMark val="none"/>
        <c:tickLblPos val="none"/>
        <c:spPr>
          <a:ln w="9525">
            <a:noFill/>
          </a:ln>
        </c:spPr>
        <c:crossAx val="293525656"/>
        <c:crosses val="autoZero"/>
        <c:crossBetween val="midCat"/>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25937440255937677"/>
          <c:y val="0.10825571206629797"/>
          <c:w val="0.4601175541164669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Seguro Familiar de Salud (SFS) del Régimen Subsidiado (RS)</a:t>
            </a:r>
            <a:endParaRPr lang="es-ES"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ES" sz="1400" b="1" i="0" baseline="0">
                <a:effectLst/>
              </a:rPr>
              <a:t>Millones (RD$)</a:t>
            </a:r>
            <a:endParaRPr lang="es-ES" sz="11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endParaRPr lang="es-ES" sz="1400">
              <a:effectLst/>
            </a:endParaRPr>
          </a:p>
        </c:rich>
      </c:tx>
      <c:layout>
        <c:manualLayout>
          <c:xMode val="edge"/>
          <c:yMode val="edge"/>
          <c:x val="0.30904964638160803"/>
          <c:y val="1.1859735720891251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1.0175709918545888E-2"/>
          <c:y val="0.23276819960895903"/>
          <c:w val="0.96312360239656913"/>
          <c:h val="0.60381816951518752"/>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'IV.2.9.Saldos RS mensual'!$A$3:$A$15</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'IV.2.9.Saldos RS mensual'!$B$3:$B$15</c:f>
              <c:numCache>
                <c:formatCode>_(* #,##0.00_);_(* \(#,##0.00\);_(* "-"??_);_(@_)</c:formatCode>
                <c:ptCount val="13"/>
                <c:pt idx="0">
                  <c:v>570000000</c:v>
                </c:pt>
                <c:pt idx="1">
                  <c:v>570000000</c:v>
                </c:pt>
                <c:pt idx="2">
                  <c:v>570000000</c:v>
                </c:pt>
                <c:pt idx="3">
                  <c:v>570000000</c:v>
                </c:pt>
                <c:pt idx="4">
                  <c:v>570000000</c:v>
                </c:pt>
                <c:pt idx="5">
                  <c:v>570000000</c:v>
                </c:pt>
                <c:pt idx="6">
                  <c:v>1139999499</c:v>
                </c:pt>
                <c:pt idx="7">
                  <c:v>0</c:v>
                </c:pt>
                <c:pt idx="8">
                  <c:v>629346479</c:v>
                </c:pt>
                <c:pt idx="9">
                  <c:v>629346479.75</c:v>
                </c:pt>
                <c:pt idx="10">
                  <c:v>629346479.75</c:v>
                </c:pt>
                <c:pt idx="11">
                  <c:v>629346479.75</c:v>
                </c:pt>
                <c:pt idx="12">
                  <c:v>629346479.75</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'IV.2.9.Saldos RS mensual'!$A$3:$A$15</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'IV.2.9.Saldos RS mensual'!$C$3:$C$15</c:f>
              <c:numCache>
                <c:formatCode>_(* #,##0.00_);_(* \(#,##0.00\);_(* "-"??_);_(@_)</c:formatCode>
                <c:ptCount val="13"/>
                <c:pt idx="0">
                  <c:v>566362011.77999997</c:v>
                </c:pt>
                <c:pt idx="1">
                  <c:v>565674533.46000004</c:v>
                </c:pt>
                <c:pt idx="2">
                  <c:v>564899580.29999995</c:v>
                </c:pt>
                <c:pt idx="3">
                  <c:v>564355018.62</c:v>
                </c:pt>
                <c:pt idx="4">
                  <c:v>565084386.29999995</c:v>
                </c:pt>
                <c:pt idx="5">
                  <c:v>584861503.05999994</c:v>
                </c:pt>
                <c:pt idx="6">
                  <c:v>1200757477.7</c:v>
                </c:pt>
                <c:pt idx="7">
                  <c:v>0</c:v>
                </c:pt>
                <c:pt idx="8">
                  <c:v>616221438.53999996</c:v>
                </c:pt>
                <c:pt idx="9">
                  <c:v>616437456.22000003</c:v>
                </c:pt>
                <c:pt idx="10">
                  <c:v>622706897.10000002</c:v>
                </c:pt>
                <c:pt idx="11">
                  <c:v>622927021.58000004</c:v>
                </c:pt>
                <c:pt idx="12">
                  <c:v>623730106.32000005</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mensual'!$A$3:$A$15</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'IV.2.9.Saldos RS mensual'!$D$3:$D$15</c:f>
              <c:numCache>
                <c:formatCode>General</c:formatCode>
                <c:ptCount val="13"/>
                <c:pt idx="0">
                  <c:v>3637988.2200000286</c:v>
                </c:pt>
                <c:pt idx="1">
                  <c:v>4325466.5399999619</c:v>
                </c:pt>
                <c:pt idx="2">
                  <c:v>5100419.7000000477</c:v>
                </c:pt>
                <c:pt idx="3">
                  <c:v>5644981.3799999952</c:v>
                </c:pt>
                <c:pt idx="4">
                  <c:v>4915613.7000000477</c:v>
                </c:pt>
                <c:pt idx="5">
                  <c:v>-14861503.059999943</c:v>
                </c:pt>
                <c:pt idx="6">
                  <c:v>-60757978.700000048</c:v>
                </c:pt>
                <c:pt idx="7" formatCode="_(* #,##0.00_);_(* \(#,##0.00\);_(* &quot;-&quot;??_);_(@_)">
                  <c:v>0</c:v>
                </c:pt>
                <c:pt idx="8">
                  <c:v>13125040.460000038</c:v>
                </c:pt>
                <c:pt idx="9">
                  <c:v>12909023.529999971</c:v>
                </c:pt>
                <c:pt idx="10">
                  <c:v>6639582.6499999762</c:v>
                </c:pt>
                <c:pt idx="11">
                  <c:v>6419458.1699999571</c:v>
                </c:pt>
                <c:pt idx="12">
                  <c:v>5616373.4299999475</c:v>
                </c:pt>
              </c:numCache>
            </c:numRef>
          </c:val>
        </c:ser>
        <c:dLbls>
          <c:showLegendKey val="0"/>
          <c:showVal val="0"/>
          <c:showCatName val="0"/>
          <c:showSerName val="0"/>
          <c:showPercent val="0"/>
          <c:showBubbleSize val="0"/>
        </c:dLbls>
        <c:gapWidth val="75"/>
        <c:shape val="cylinder"/>
        <c:axId val="293526832"/>
        <c:axId val="301973752"/>
        <c:axId val="0"/>
      </c:bar3DChart>
      <c:catAx>
        <c:axId val="293526832"/>
        <c:scaling>
          <c:orientation val="minMax"/>
        </c:scaling>
        <c:delete val="0"/>
        <c:axPos val="b"/>
        <c:numFmt formatCode="mmm\-yy" sourceLinked="0"/>
        <c:majorTickMark val="none"/>
        <c:minorTickMark val="none"/>
        <c:tickLblPos val="low"/>
        <c:txPr>
          <a:bodyPr/>
          <a:lstStyle/>
          <a:p>
            <a:pPr>
              <a:defRPr lang="en-US" sz="1600"/>
            </a:pPr>
            <a:endParaRPr lang="es-ES"/>
          </a:p>
        </c:txPr>
        <c:crossAx val="301973752"/>
        <c:crosses val="autoZero"/>
        <c:auto val="1"/>
        <c:lblAlgn val="ctr"/>
        <c:lblOffset val="100"/>
        <c:noMultiLvlLbl val="1"/>
      </c:catAx>
      <c:valAx>
        <c:axId val="301973752"/>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293526832"/>
        <c:crosses val="autoZero"/>
        <c:crossBetween val="between"/>
        <c:dispUnits>
          <c:builtInUnit val="millions"/>
        </c:dispUnits>
      </c:valAx>
      <c:spPr>
        <a:noFill/>
        <a:ln w="25400">
          <a:noFill/>
        </a:ln>
      </c:spPr>
    </c:plotArea>
    <c:legend>
      <c:legendPos val="b"/>
      <c:layout>
        <c:manualLayout>
          <c:xMode val="edge"/>
          <c:yMode val="edge"/>
          <c:x val="0.30106672690810393"/>
          <c:y val="0.11512381183023551"/>
          <c:w val="0.35389992379984758"/>
          <c:h val="4.9493817080081687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7.885547233358578E-2"/>
          <c:y val="0.12144426308650774"/>
          <c:w val="0.83165170566369506"/>
          <c:h val="0.72866056409937474"/>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Pens.'!$A$7:$A$12</c:f>
              <c:strCache>
                <c:ptCount val="6"/>
                <c:pt idx="0">
                  <c:v>Jul. 2010</c:v>
                </c:pt>
                <c:pt idx="1">
                  <c:v>2011</c:v>
                </c:pt>
                <c:pt idx="2">
                  <c:v>2012</c:v>
                </c:pt>
                <c:pt idx="3">
                  <c:v>2013</c:v>
                </c:pt>
                <c:pt idx="4">
                  <c:v>2014</c:v>
                </c:pt>
                <c:pt idx="5">
                  <c:v>Jun.2015</c:v>
                </c:pt>
              </c:strCache>
            </c:strRef>
          </c:cat>
          <c:val>
            <c:numRef>
              <c:f>'IV.2.10 Pagos.SFS Pens.'!$B$7:$B$12</c:f>
              <c:numCache>
                <c:formatCode>#,##0.00</c:formatCode>
                <c:ptCount val="6"/>
                <c:pt idx="0">
                  <c:v>115952658.19999999</c:v>
                </c:pt>
                <c:pt idx="1">
                  <c:v>291946073.39999998</c:v>
                </c:pt>
                <c:pt idx="2">
                  <c:v>331635794.92000002</c:v>
                </c:pt>
                <c:pt idx="3">
                  <c:v>333800248.55999994</c:v>
                </c:pt>
                <c:pt idx="4">
                  <c:v>329249337.19999999</c:v>
                </c:pt>
                <c:pt idx="5">
                  <c:v>167965296.19999999</c:v>
                </c:pt>
              </c:numCache>
            </c:numRef>
          </c:val>
        </c:ser>
        <c:dLbls>
          <c:showLegendKey val="0"/>
          <c:showVal val="0"/>
          <c:showCatName val="0"/>
          <c:showSerName val="0"/>
          <c:showPercent val="0"/>
          <c:showBubbleSize val="0"/>
        </c:dLbls>
        <c:gapWidth val="80"/>
        <c:overlap val="-100"/>
        <c:axId val="301966304"/>
        <c:axId val="301966696"/>
      </c:barChart>
      <c:catAx>
        <c:axId val="3019663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301966696"/>
        <c:crosses val="autoZero"/>
        <c:auto val="1"/>
        <c:lblAlgn val="ctr"/>
        <c:lblOffset val="100"/>
        <c:noMultiLvlLbl val="0"/>
      </c:catAx>
      <c:valAx>
        <c:axId val="301966696"/>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3019663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4752814917556446"/>
          <c:y val="3.539691790395617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0797836307248866E-2"/>
          <c:y val="0.31644970028286873"/>
          <c:w val="0.92785687040918441"/>
          <c:h val="0.46639645881197989"/>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'IV.2.11.Pagos.SFS Pens.Mens.'!$C$7:$C$19</c:f>
              <c:numCache>
                <c:formatCode>#,##0.00</c:formatCode>
                <c:ptCount val="13"/>
                <c:pt idx="0">
                  <c:v>3315922.08</c:v>
                </c:pt>
                <c:pt idx="1">
                  <c:v>3341895.36</c:v>
                </c:pt>
                <c:pt idx="2">
                  <c:v>3354160.52</c:v>
                </c:pt>
                <c:pt idx="3">
                  <c:v>3455167.72</c:v>
                </c:pt>
                <c:pt idx="4">
                  <c:v>3467432.88</c:v>
                </c:pt>
                <c:pt idx="5">
                  <c:v>3468875.84</c:v>
                </c:pt>
                <c:pt idx="6">
                  <c:v>3483305.44</c:v>
                </c:pt>
                <c:pt idx="7">
                  <c:v>3489798.76</c:v>
                </c:pt>
                <c:pt idx="8">
                  <c:v>3503506.88</c:v>
                </c:pt>
                <c:pt idx="9">
                  <c:v>3510000.2</c:v>
                </c:pt>
                <c:pt idx="10">
                  <c:v>3526594.24</c:v>
                </c:pt>
                <c:pt idx="11">
                  <c:v>3551846.04</c:v>
                </c:pt>
                <c:pt idx="12">
                  <c:v>3565554.16</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'IV.2.11.Pagos.SFS Pens.Mens.'!$B$7:$B$19</c:f>
              <c:numCache>
                <c:formatCode>#,##0.00</c:formatCode>
                <c:ptCount val="13"/>
                <c:pt idx="0">
                  <c:v>10659145.52</c:v>
                </c:pt>
                <c:pt idx="1">
                  <c:v>10707484.68</c:v>
                </c:pt>
                <c:pt idx="2">
                  <c:v>10737065.359999999</c:v>
                </c:pt>
                <c:pt idx="3">
                  <c:v>10804884.48</c:v>
                </c:pt>
                <c:pt idx="4">
                  <c:v>10853223.640000001</c:v>
                </c:pt>
                <c:pt idx="5">
                  <c:v>10769531.960000001</c:v>
                </c:pt>
                <c:pt idx="6">
                  <c:v>10900119.84</c:v>
                </c:pt>
                <c:pt idx="7">
                  <c:v>10901562.800000001</c:v>
                </c:pt>
                <c:pt idx="8">
                  <c:v>10951344.92</c:v>
                </c:pt>
                <c:pt idx="9">
                  <c:v>10977318.199999999</c:v>
                </c:pt>
                <c:pt idx="10">
                  <c:v>10954952.32</c:v>
                </c:pt>
                <c:pt idx="11">
                  <c:v>10946294.560000001</c:v>
                </c:pt>
                <c:pt idx="12">
                  <c:v>10975153.76</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'IV.2.11.Pagos.SFS Pens.Mens.'!$D$7:$D$19</c:f>
              <c:numCache>
                <c:formatCode>#,##0.00</c:formatCode>
                <c:ptCount val="13"/>
                <c:pt idx="0">
                  <c:v>13490158.08</c:v>
                </c:pt>
                <c:pt idx="1">
                  <c:v>13527317.52</c:v>
                </c:pt>
                <c:pt idx="2">
                  <c:v>13526036.16</c:v>
                </c:pt>
                <c:pt idx="3">
                  <c:v>13519629.359999999</c:v>
                </c:pt>
                <c:pt idx="4">
                  <c:v>13505534.4</c:v>
                </c:pt>
                <c:pt idx="5">
                  <c:v>13456842.720000001</c:v>
                </c:pt>
                <c:pt idx="6">
                  <c:v>13497846.24</c:v>
                </c:pt>
                <c:pt idx="7">
                  <c:v>13502971.68</c:v>
                </c:pt>
                <c:pt idx="8">
                  <c:v>13565758.32</c:v>
                </c:pt>
                <c:pt idx="9">
                  <c:v>13550382</c:v>
                </c:pt>
                <c:pt idx="10">
                  <c:v>13477344.48</c:v>
                </c:pt>
                <c:pt idx="11">
                  <c:v>13459405.439999999</c:v>
                </c:pt>
                <c:pt idx="12">
                  <c:v>13555507.439999999</c:v>
                </c:pt>
              </c:numCache>
            </c:numRef>
          </c:val>
        </c:ser>
        <c:dLbls>
          <c:showLegendKey val="0"/>
          <c:showVal val="1"/>
          <c:showCatName val="0"/>
          <c:showSerName val="0"/>
          <c:showPercent val="0"/>
          <c:showBubbleSize val="0"/>
        </c:dLbls>
        <c:gapWidth val="150"/>
        <c:shape val="box"/>
        <c:axId val="301967480"/>
        <c:axId val="301967872"/>
        <c:axId val="0"/>
      </c:bar3DChart>
      <c:catAx>
        <c:axId val="301967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301967872"/>
        <c:crosses val="autoZero"/>
        <c:auto val="1"/>
        <c:lblAlgn val="ctr"/>
        <c:lblOffset val="100"/>
        <c:noMultiLvlLbl val="0"/>
      </c:catAx>
      <c:valAx>
        <c:axId val="30196787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01967480"/>
        <c:crosses val="autoZero"/>
        <c:crossBetween val="between"/>
      </c:valAx>
      <c:spPr>
        <a:noFill/>
        <a:ln>
          <a:noFill/>
        </a:ln>
        <a:effectLst/>
      </c:spPr>
    </c:plotArea>
    <c:legend>
      <c:legendPos val="b"/>
      <c:layout>
        <c:manualLayout>
          <c:xMode val="edge"/>
          <c:yMode val="edge"/>
          <c:x val="0.27792201144766271"/>
          <c:y val="8.5612044762886641E-2"/>
          <c:w val="0.45456897673072449"/>
          <c:h val="4.2022412659498652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5174248411842075E-2"/>
          <c:y val="0.10439613328937521"/>
          <c:w val="0.9392559779072317"/>
          <c:h val="0.74120336167348899"/>
        </c:manualLayout>
      </c:layout>
      <c:bar3DChart>
        <c:barDir val="col"/>
        <c:grouping val="stacked"/>
        <c:varyColors val="0"/>
        <c:ser>
          <c:idx val="0"/>
          <c:order val="0"/>
          <c:spPr>
            <a:solidFill>
              <a:schemeClr val="accent3">
                <a:lumMod val="75000"/>
              </a:schemeClr>
            </a:solidFill>
          </c:spPr>
          <c:invertIfNegative val="0"/>
          <c:dLbls>
            <c:dLbl>
              <c:idx val="0"/>
              <c:layout>
                <c:manualLayout>
                  <c:x val="6.7760848278599836E-3"/>
                  <c:y val="-5.294667831396528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6345163205336899E-3"/>
                  <c:y val="-9.240818594393521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1078435561262033E-3"/>
                  <c:y val="-0.1105161790764141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064646426164741E-2"/>
                  <c:y val="-0.1245899982432793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9828582534948941E-3"/>
                  <c:y val="-0.18120921206131785"/>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4306832205877941E-3"/>
                  <c:y val="-0.1915392375725383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5341515483352056E-3"/>
                  <c:y val="-0.21942443734804165"/>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9455570235375093E-3"/>
                  <c:y val="-0.27421366696587068"/>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8403017630637381E-3"/>
                  <c:y val="-0.27108111584115507"/>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0850808492434999E-2"/>
                  <c:y val="-0.29885682138375574"/>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1.1009306708298349E-2"/>
                  <c:y val="-0.32939180833402187"/>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8.4523784114596927E-3"/>
                  <c:y val="-0.3633497267189725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9.2717760069274905E-3"/>
                  <c:y val="-0.2139348858251894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Jun. 2015</c:v>
                </c:pt>
              </c:strCache>
            </c:strRef>
          </c:cat>
          <c:val>
            <c:numRef>
              <c:f>'IV.3.2.Pagos_ SVDS'!$B$4:$B$16</c:f>
              <c:numCache>
                <c:formatCode>#,##0.00</c:formatCode>
                <c:ptCount val="13"/>
                <c:pt idx="0">
                  <c:v>1813713639.4200003</c:v>
                </c:pt>
                <c:pt idx="1">
                  <c:v>6547406092.6799974</c:v>
                </c:pt>
                <c:pt idx="2">
                  <c:v>8393553851.0549612</c:v>
                </c:pt>
                <c:pt idx="3">
                  <c:v>9613650449.1000004</c:v>
                </c:pt>
                <c:pt idx="4">
                  <c:v>14892605258.139002</c:v>
                </c:pt>
                <c:pt idx="5">
                  <c:v>15887938438.049995</c:v>
                </c:pt>
                <c:pt idx="6">
                  <c:v>18789773765.600002</c:v>
                </c:pt>
                <c:pt idx="7">
                  <c:v>23938490112.329998</c:v>
                </c:pt>
                <c:pt idx="8">
                  <c:v>23585106301.459995</c:v>
                </c:pt>
                <c:pt idx="9">
                  <c:v>26400473552.349998</c:v>
                </c:pt>
                <c:pt idx="10">
                  <c:v>29506184318.749996</c:v>
                </c:pt>
                <c:pt idx="11">
                  <c:v>33591892120.470001</c:v>
                </c:pt>
                <c:pt idx="12">
                  <c:v>18252505737.549999</c:v>
                </c:pt>
              </c:numCache>
            </c:numRef>
          </c:val>
        </c:ser>
        <c:dLbls>
          <c:showLegendKey val="0"/>
          <c:showVal val="0"/>
          <c:showCatName val="0"/>
          <c:showSerName val="0"/>
          <c:showPercent val="0"/>
          <c:showBubbleSize val="0"/>
        </c:dLbls>
        <c:gapWidth val="75"/>
        <c:shape val="cylinder"/>
        <c:axId val="301969048"/>
        <c:axId val="301968656"/>
        <c:axId val="0"/>
      </c:bar3DChart>
      <c:catAx>
        <c:axId val="301969048"/>
        <c:scaling>
          <c:orientation val="minMax"/>
        </c:scaling>
        <c:delete val="0"/>
        <c:axPos val="b"/>
        <c:numFmt formatCode="General" sourceLinked="1"/>
        <c:majorTickMark val="none"/>
        <c:minorTickMark val="none"/>
        <c:tickLblPos val="nextTo"/>
        <c:txPr>
          <a:bodyPr/>
          <a:lstStyle/>
          <a:p>
            <a:pPr>
              <a:defRPr sz="1600"/>
            </a:pPr>
            <a:endParaRPr lang="es-ES"/>
          </a:p>
        </c:txPr>
        <c:crossAx val="301968656"/>
        <c:crosses val="autoZero"/>
        <c:auto val="1"/>
        <c:lblAlgn val="ctr"/>
        <c:lblOffset val="100"/>
        <c:noMultiLvlLbl val="0"/>
      </c:catAx>
      <c:valAx>
        <c:axId val="301968656"/>
        <c:scaling>
          <c:orientation val="minMax"/>
        </c:scaling>
        <c:delete val="0"/>
        <c:axPos val="l"/>
        <c:numFmt formatCode="#,##0.00" sourceLinked="1"/>
        <c:majorTickMark val="none"/>
        <c:minorTickMark val="none"/>
        <c:tickLblPos val="none"/>
        <c:crossAx val="301969048"/>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065324549660621E-2"/>
          <c:y val="0.16425960851827276"/>
          <c:w val="0.89945834850948936"/>
          <c:h val="0.68505306004760103"/>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Ene-Jun. 2015</c:v>
                </c:pt>
              </c:strCache>
            </c:strRef>
          </c:cat>
          <c:val>
            <c:numRef>
              <c:f>'IV.3.3.Pagos anuales x cuentas'!$B$4:$N$4</c:f>
              <c:numCache>
                <c:formatCode>_(* #,##0.00_);_(* \(#,##0.00\);_(* "-"??_);_(@_)</c:formatCode>
                <c:ptCount val="13"/>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14352566560.82</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Ene-Jun. 2015</c:v>
                </c:pt>
              </c:strCache>
            </c:strRef>
          </c:cat>
          <c:val>
            <c:numRef>
              <c:f>'IV.3.3.Pagos anuales x cuentas'!$B$5:$N$5</c:f>
              <c:numCache>
                <c:formatCode>_(* #,##0.00_);_(* \(#,##0.00\);_(* "-"??_);_(@_)</c:formatCode>
                <c:ptCount val="13"/>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586502946.76999998</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Ene-Jun. 2015</c:v>
                </c:pt>
              </c:strCache>
            </c:strRef>
          </c:cat>
          <c:val>
            <c:numRef>
              <c:f>'IV.3.3.Pagos anuales x cuentas'!$B$6:$N$6</c:f>
              <c:numCache>
                <c:formatCode>_(* #,##0.00_);_(* \(#,##0.00\);_(* "-"??_);_(@_)</c:formatCode>
                <c:ptCount val="13"/>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pt idx="12">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Ene-Jun. 2015</c:v>
                </c:pt>
              </c:strCache>
            </c:strRef>
          </c:cat>
          <c:val>
            <c:numRef>
              <c:f>'IV.3.3.Pagos anuales x cuentas'!$B$7:$N$7</c:f>
              <c:numCache>
                <c:formatCode>_(* #,##0.00_);_(* \(#,##0.00\);_(* "-"??_);_(@_)</c:formatCode>
                <c:ptCount val="13"/>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1573228112.5799999</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Ene-Jun. 2015</c:v>
                </c:pt>
              </c:strCache>
            </c:strRef>
          </c:cat>
          <c:val>
            <c:numRef>
              <c:f>'IV.3.3.Pagos anuales x cuentas'!$C$8:$N$8</c:f>
              <c:numCache>
                <c:formatCode>_(* #,##0.00_);_(* \(#,##0.00\);_(* "-"??_);_(@_)</c:formatCode>
                <c:ptCount val="12"/>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46200541.189999998</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Ene-Jun. 2015</c:v>
                </c:pt>
              </c:strCache>
            </c:strRef>
          </c:cat>
          <c:val>
            <c:numRef>
              <c:f>'IV.3.3.Pagos anuales x cuentas'!$B$9:$N$9</c:f>
              <c:numCache>
                <c:formatCode>_(* #,##0.00_);_(* \(#,##0.00\);_(* "-"??_);_(@_)</c:formatCode>
                <c:ptCount val="13"/>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867441952.57000005</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Ene-Jun. 2015</c:v>
                </c:pt>
              </c:strCache>
            </c:strRef>
          </c:cat>
          <c:val>
            <c:numRef>
              <c:f>'IV.3.3.Pagos anuales x cuentas'!$B$10:$N$10</c:f>
              <c:numCache>
                <c:formatCode>_(* #,##0.00_);_(* \(#,##0.00\);_(* "-"??_);_(@_)</c:formatCode>
                <c:ptCount val="13"/>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122050058.23999999</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Ene-Jun. 2015</c:v>
                </c:pt>
              </c:strCache>
            </c:strRef>
          </c:cat>
          <c:val>
            <c:numRef>
              <c:f>'IV.3.3.Pagos anuales x cuentas'!$B$11:$N$11</c:f>
              <c:numCache>
                <c:formatCode>_(* #,##0.00_);_(* \(#,##0.00\);_(* "-"??_);_(@_)</c:formatCode>
                <c:ptCount val="13"/>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704515565.38</c:v>
                </c:pt>
              </c:numCache>
            </c:numRef>
          </c:val>
        </c:ser>
        <c:dLbls>
          <c:showLegendKey val="0"/>
          <c:showVal val="0"/>
          <c:showCatName val="0"/>
          <c:showSerName val="0"/>
          <c:showPercent val="0"/>
          <c:showBubbleSize val="0"/>
        </c:dLbls>
        <c:gapWidth val="75"/>
        <c:shape val="cylinder"/>
        <c:axId val="301970224"/>
        <c:axId val="301969832"/>
        <c:axId val="0"/>
      </c:bar3DChart>
      <c:catAx>
        <c:axId val="301970224"/>
        <c:scaling>
          <c:orientation val="minMax"/>
        </c:scaling>
        <c:delete val="0"/>
        <c:axPos val="b"/>
        <c:numFmt formatCode="General" sourceLinked="1"/>
        <c:majorTickMark val="none"/>
        <c:minorTickMark val="none"/>
        <c:tickLblPos val="nextTo"/>
        <c:txPr>
          <a:bodyPr/>
          <a:lstStyle/>
          <a:p>
            <a:pPr>
              <a:defRPr lang="en-US" sz="1200"/>
            </a:pPr>
            <a:endParaRPr lang="es-ES"/>
          </a:p>
        </c:txPr>
        <c:crossAx val="301969832"/>
        <c:crosses val="autoZero"/>
        <c:auto val="1"/>
        <c:lblAlgn val="ctr"/>
        <c:lblOffset val="100"/>
        <c:noMultiLvlLbl val="0"/>
      </c:catAx>
      <c:valAx>
        <c:axId val="301969832"/>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301970224"/>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DO" sz="2000" b="1">
                <a:effectLst/>
              </a:rPr>
              <a:t>Pagos a Entidades del Seguro de Vejez, Discapacidad y Sobrevivencia (SVDS)</a:t>
            </a:r>
            <a:endParaRPr lang="es-ES" sz="2000">
              <a:effectLst/>
            </a:endParaRPr>
          </a:p>
        </c:rich>
      </c:tx>
      <c:layout>
        <c:manualLayout>
          <c:xMode val="edge"/>
          <c:yMode val="edge"/>
          <c:x val="0.26256339428663272"/>
          <c:y val="4.069000373216157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661978844118147"/>
          <c:y val="0.10211711055625732"/>
          <c:w val="0.78960375946587735"/>
          <c:h val="0.73940761545887712"/>
        </c:manualLayout>
      </c:layout>
      <c:barChart>
        <c:barDir val="bar"/>
        <c:grouping val="clustered"/>
        <c:varyColors val="0"/>
        <c:ser>
          <c:idx val="0"/>
          <c:order val="0"/>
          <c:tx>
            <c:strRef>
              <c:f>'IV.3.4.Pago Entidades'!$K$3</c:f>
              <c:strCache>
                <c:ptCount val="1"/>
                <c:pt idx="0">
                  <c:v>Total</c:v>
                </c:pt>
              </c:strCache>
            </c:strRef>
          </c:tx>
          <c:spPr>
            <a:solidFill>
              <a:schemeClr val="accent1"/>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1"/>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chemeClr val="accent1"/>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Entidades'!$A$4:$A$16</c:f>
              <c:strCache>
                <c:ptCount val="13"/>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LEON</c:v>
                </c:pt>
                <c:pt idx="12">
                  <c:v>AFP CARIBALICO</c:v>
                </c:pt>
              </c:strCache>
            </c:strRef>
          </c:cat>
          <c:val>
            <c:numRef>
              <c:f>'IV.3.4.Pago Entidades'!$K$4:$K$16</c:f>
              <c:numCache>
                <c:formatCode>_(* #,##0.00_);_(* \(#,##0.00\);_(* "-"??_);_(@_)</c:formatCode>
                <c:ptCount val="13"/>
                <c:pt idx="0">
                  <c:v>56620524691.899994</c:v>
                </c:pt>
                <c:pt idx="1">
                  <c:v>41627059930.889999</c:v>
                </c:pt>
                <c:pt idx="2">
                  <c:v>33961130037.969997</c:v>
                </c:pt>
                <c:pt idx="3">
                  <c:v>32990453669.52</c:v>
                </c:pt>
                <c:pt idx="4">
                  <c:v>24390752010.310001</c:v>
                </c:pt>
                <c:pt idx="5">
                  <c:v>8596119555.5400009</c:v>
                </c:pt>
                <c:pt idx="6">
                  <c:v>1551057698.8199995</c:v>
                </c:pt>
                <c:pt idx="7">
                  <c:v>1479254831.079999</c:v>
                </c:pt>
                <c:pt idx="8">
                  <c:v>1428280603.7099988</c:v>
                </c:pt>
                <c:pt idx="9">
                  <c:v>1306985630.1999996</c:v>
                </c:pt>
                <c:pt idx="10">
                  <c:v>713040498.85999942</c:v>
                </c:pt>
                <c:pt idx="11">
                  <c:v>116692988.65000001</c:v>
                </c:pt>
                <c:pt idx="12">
                  <c:v>63617457.140000001</c:v>
                </c:pt>
              </c:numCache>
            </c:numRef>
          </c:val>
        </c:ser>
        <c:dLbls>
          <c:showLegendKey val="0"/>
          <c:showVal val="0"/>
          <c:showCatName val="0"/>
          <c:showSerName val="0"/>
          <c:showPercent val="0"/>
          <c:showBubbleSize val="0"/>
        </c:dLbls>
        <c:gapWidth val="68"/>
        <c:overlap val="1"/>
        <c:axId val="301971008"/>
        <c:axId val="301971400"/>
      </c:barChart>
      <c:catAx>
        <c:axId val="301971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301971400"/>
        <c:crosses val="autoZero"/>
        <c:auto val="1"/>
        <c:lblAlgn val="ctr"/>
        <c:lblOffset val="100"/>
        <c:noMultiLvlLbl val="0"/>
      </c:catAx>
      <c:valAx>
        <c:axId val="301971400"/>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01971008"/>
        <c:crosses val="autoZero"/>
        <c:crossBetween val="between"/>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4.2117674058895833E-2"/>
          <c:y val="0.14273685428410901"/>
          <c:w val="0.91493130178679483"/>
          <c:h val="0.70319771214763016"/>
        </c:manualLayout>
      </c:layout>
      <c:barChart>
        <c:barDir val="col"/>
        <c:grouping val="clustered"/>
        <c:varyColors val="0"/>
        <c:ser>
          <c:idx val="0"/>
          <c:order val="0"/>
          <c:tx>
            <c:strRef>
              <c:f>'III.1.4.Afil. SFS'!$B$3</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Jun. 2015</c:v>
                </c:pt>
              </c:strCache>
            </c:strRef>
          </c:cat>
          <c:val>
            <c:numRef>
              <c:f>'III.1.4.Afil. SFS'!$B$4:$B$16</c:f>
              <c:numCache>
                <c:formatCode>_(* #,##0_);_(* \(#,##0\);_(* "-"_);_(@_)</c:formatCode>
                <c:ptCount val="11"/>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3284981</c:v>
                </c:pt>
              </c:numCache>
            </c:numRef>
          </c:val>
        </c:ser>
        <c:ser>
          <c:idx val="1"/>
          <c:order val="1"/>
          <c:tx>
            <c:strRef>
              <c:f>'III.1.4.Afil. SFS'!$C$3</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Jun. 2015</c:v>
                </c:pt>
              </c:strCache>
            </c:strRef>
          </c:cat>
          <c:val>
            <c:numRef>
              <c:f>'III.1.4.Afil. SFS'!$C$4:$C$16</c:f>
              <c:numCache>
                <c:formatCode>#,##0</c:formatCode>
                <c:ptCount val="11"/>
                <c:pt idx="0">
                  <c:v>253374</c:v>
                </c:pt>
                <c:pt idx="1">
                  <c:v>514040</c:v>
                </c:pt>
                <c:pt idx="2">
                  <c:v>1081936</c:v>
                </c:pt>
                <c:pt idx="3">
                  <c:v>1224898</c:v>
                </c:pt>
                <c:pt idx="4">
                  <c:v>1404225</c:v>
                </c:pt>
                <c:pt idx="5">
                  <c:v>2013786</c:v>
                </c:pt>
                <c:pt idx="6">
                  <c:v>2003427</c:v>
                </c:pt>
                <c:pt idx="7">
                  <c:v>2303351</c:v>
                </c:pt>
                <c:pt idx="8">
                  <c:v>2751753</c:v>
                </c:pt>
                <c:pt idx="9">
                  <c:v>3015646</c:v>
                </c:pt>
                <c:pt idx="10">
                  <c:v>3043353</c:v>
                </c:pt>
              </c:numCache>
            </c:numRef>
          </c:val>
        </c:ser>
        <c:ser>
          <c:idx val="2"/>
          <c:order val="2"/>
          <c:tx>
            <c:strRef>
              <c:f>'III.1.4.Afil. SFS'!$D$3</c:f>
              <c:strCache>
                <c:ptCount val="1"/>
                <c:pt idx="0">
                  <c:v>Afiliación   RET</c:v>
                </c:pt>
              </c:strCache>
            </c:strRef>
          </c:tx>
          <c:spPr>
            <a:solidFill>
              <a:srgbClr val="00B050"/>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Jun. 2015</c:v>
                </c:pt>
              </c:strCache>
            </c:strRef>
          </c:cat>
          <c:val>
            <c:numRef>
              <c:f>'III.1.4.Afil. SFS'!$D$4:$D$16</c:f>
              <c:numCache>
                <c:formatCode>_(* #,##0.00_);_(* \(#,##0.00\);_(* "-"??_);_(@_)</c:formatCode>
                <c:ptCount val="11"/>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30582</c:v>
                </c:pt>
              </c:numCache>
            </c:numRef>
          </c:val>
        </c:ser>
        <c:dLbls>
          <c:showLegendKey val="0"/>
          <c:showVal val="0"/>
          <c:showCatName val="0"/>
          <c:showSerName val="0"/>
          <c:showPercent val="0"/>
          <c:showBubbleSize val="0"/>
        </c:dLbls>
        <c:gapWidth val="7"/>
        <c:overlap val="1"/>
        <c:axId val="877113880"/>
        <c:axId val="877114664"/>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Jun. 2015</c:v>
                </c:pt>
              </c:strCache>
            </c:strRef>
          </c:cat>
          <c:val>
            <c:numRef>
              <c:f>'III.1.4.Afil. SFS'!$F$4:$F$16</c:f>
              <c:numCache>
                <c:formatCode>_(* #,##0.00_);_(* \(#,##0.00\);_(* "-"??_);_(@_)</c:formatCode>
                <c:ptCount val="11"/>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0.5165944950365754</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Jun. 2015</c:v>
                </c:pt>
              </c:strCache>
            </c:strRef>
          </c:cat>
          <c:val>
            <c:numRef>
              <c:f>'III.1.4.Afil. SFS'!$G$4:$G$16</c:f>
              <c:numCache>
                <c:formatCode>0.0%</c:formatCode>
                <c:ptCount val="11"/>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0.47859619469733522</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Jun. 2015</c:v>
                </c:pt>
              </c:strCache>
            </c:strRef>
          </c:cat>
          <c:val>
            <c:numRef>
              <c:f>'III.1.4.Afil. SFS'!$H$4:$H$16</c:f>
              <c:numCache>
                <c:formatCode>_(* #,##0.00_);_(* \(#,##0.00\);_(* "-"??_);_(@_)</c:formatCode>
                <c:ptCount val="11"/>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4.8093102660893778E-3</c:v>
                </c:pt>
              </c:numCache>
            </c:numRef>
          </c:val>
          <c:smooth val="0"/>
        </c:ser>
        <c:dLbls>
          <c:showLegendKey val="0"/>
          <c:showVal val="0"/>
          <c:showCatName val="0"/>
          <c:showSerName val="0"/>
          <c:showPercent val="0"/>
          <c:showBubbleSize val="0"/>
        </c:dLbls>
        <c:marker val="1"/>
        <c:smooth val="0"/>
        <c:axId val="877115840"/>
        <c:axId val="877115448"/>
      </c:lineChart>
      <c:catAx>
        <c:axId val="877113880"/>
        <c:scaling>
          <c:orientation val="minMax"/>
        </c:scaling>
        <c:delete val="0"/>
        <c:axPos val="b"/>
        <c:numFmt formatCode="General" sourceLinked="0"/>
        <c:majorTickMark val="none"/>
        <c:minorTickMark val="none"/>
        <c:tickLblPos val="nextTo"/>
        <c:txPr>
          <a:bodyPr/>
          <a:lstStyle/>
          <a:p>
            <a:pPr>
              <a:defRPr sz="1800"/>
            </a:pPr>
            <a:endParaRPr lang="es-ES"/>
          </a:p>
        </c:txPr>
        <c:crossAx val="877114664"/>
        <c:crosses val="autoZero"/>
        <c:auto val="1"/>
        <c:lblAlgn val="ctr"/>
        <c:lblOffset val="100"/>
        <c:noMultiLvlLbl val="0"/>
      </c:catAx>
      <c:valAx>
        <c:axId val="877114664"/>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877113880"/>
        <c:crosses val="autoZero"/>
        <c:crossBetween val="between"/>
        <c:dispUnits>
          <c:builtInUnit val="thousands"/>
          <c:dispUnitsLbl/>
        </c:dispUnits>
      </c:valAx>
      <c:valAx>
        <c:axId val="877115448"/>
        <c:scaling>
          <c:orientation val="minMax"/>
          <c:max val="2"/>
        </c:scaling>
        <c:delete val="0"/>
        <c:axPos val="r"/>
        <c:numFmt formatCode="_(* #,##0.00_);_(* \(#,##0.00\);_(* &quot;-&quot;??_);_(@_)" sourceLinked="1"/>
        <c:majorTickMark val="out"/>
        <c:minorTickMark val="none"/>
        <c:tickLblPos val="nextTo"/>
        <c:crossAx val="877115840"/>
        <c:crosses val="max"/>
        <c:crossBetween val="between"/>
      </c:valAx>
      <c:catAx>
        <c:axId val="877115840"/>
        <c:scaling>
          <c:orientation val="minMax"/>
        </c:scaling>
        <c:delete val="1"/>
        <c:axPos val="b"/>
        <c:numFmt formatCode="General" sourceLinked="1"/>
        <c:majorTickMark val="out"/>
        <c:minorTickMark val="none"/>
        <c:tickLblPos val="nextTo"/>
        <c:crossAx val="877115448"/>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a:p>
            <a:pPr>
              <a:defRPr sz="2000"/>
            </a:pPr>
            <a:r>
              <a:rPr lang="es-ES" sz="1600"/>
              <a:t>(Millones </a:t>
            </a:r>
            <a:r>
              <a:rPr lang="es-ES" sz="1600" baseline="0"/>
              <a:t>RD$)</a:t>
            </a:r>
            <a:endParaRPr lang="es-ES" sz="1600"/>
          </a:p>
        </c:rich>
      </c:tx>
      <c:layout>
        <c:manualLayout>
          <c:xMode val="edge"/>
          <c:yMode val="edge"/>
          <c:x val="0.32473050560290939"/>
          <c:y val="2.2388392697928385E-2"/>
        </c:manualLayout>
      </c:layout>
      <c:overlay val="0"/>
    </c:title>
    <c:autoTitleDeleted val="0"/>
    <c:plotArea>
      <c:layout>
        <c:manualLayout>
          <c:layoutTarget val="inner"/>
          <c:xMode val="edge"/>
          <c:yMode val="edge"/>
          <c:x val="8.7455089377418485E-2"/>
          <c:y val="0.16315171267853379"/>
          <c:w val="0.80342557510868406"/>
          <c:h val="0.62737525521811832"/>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chemeClr val="accent1"/>
              </a:solidFill>
            </a:ln>
          </c:spPr>
          <c:marker>
            <c:spPr>
              <a:gradFill>
                <a:gsLst>
                  <a:gs pos="0">
                    <a:srgbClr val="000000"/>
                  </a:gs>
                  <a:gs pos="39999">
                    <a:srgbClr val="0A128C"/>
                  </a:gs>
                  <a:gs pos="70000">
                    <a:srgbClr val="181CC7"/>
                  </a:gs>
                  <a:gs pos="88000">
                    <a:srgbClr val="7005D4"/>
                  </a:gs>
                  <a:gs pos="100000">
                    <a:srgbClr val="8C3D91"/>
                  </a:gs>
                </a:gsLst>
                <a:lin ang="5400000" scaled="0"/>
              </a:gradFill>
              <a:ln w="38100"/>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5875129916837096E-2"/>
                  <c:y val="4.213333218844141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0484477850829491E-2"/>
                  <c:y val="4.213333218844141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2640738677232482E-2"/>
                  <c:y val="4.461176349364379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2.5189398687679838E-2"/>
                  <c:y val="4.0199338796248596E-2"/>
                </c:manualLayout>
              </c:layout>
              <c:spPr/>
              <c:txPr>
                <a:bodyPr/>
                <a:lstStyle/>
                <a:p>
                  <a:pPr>
                    <a:defRPr sz="1400" b="0"/>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7645057015858401E-2"/>
                  <c:y val="8.581066559332763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3.5650397339860924E-2"/>
                  <c:y val="9.5058440094610896E-2"/>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1"/>
                <c:pt idx="0">
                  <c:v>2005</c:v>
                </c:pt>
                <c:pt idx="1">
                  <c:v>2006</c:v>
                </c:pt>
                <c:pt idx="2">
                  <c:v>2007</c:v>
                </c:pt>
                <c:pt idx="3">
                  <c:v>2008</c:v>
                </c:pt>
                <c:pt idx="4">
                  <c:v>2009</c:v>
                </c:pt>
                <c:pt idx="5">
                  <c:v>2010</c:v>
                </c:pt>
                <c:pt idx="6">
                  <c:v>2011</c:v>
                </c:pt>
                <c:pt idx="7">
                  <c:v>2012</c:v>
                </c:pt>
                <c:pt idx="8">
                  <c:v>2013</c:v>
                </c:pt>
                <c:pt idx="9">
                  <c:v>2014</c:v>
                </c:pt>
                <c:pt idx="10">
                  <c:v>Jun.2015</c:v>
                </c:pt>
              </c:strCache>
            </c:strRef>
          </c:cat>
          <c:val>
            <c:numRef>
              <c:f>'IV.3.5.Patrim. fp anual'!$B$4:$B$16</c:f>
              <c:numCache>
                <c:formatCode>_(* #,##0.00_);_(* \(#,##0.00\);_(* "-"??_);_(@_)</c:formatCode>
                <c:ptCount val="11"/>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337464.344515</c:v>
                </c:pt>
              </c:numCache>
            </c:numRef>
          </c:val>
          <c:smooth val="0"/>
        </c:ser>
        <c:dLbls>
          <c:showLegendKey val="0"/>
          <c:showVal val="0"/>
          <c:showCatName val="0"/>
          <c:showSerName val="0"/>
          <c:showPercent val="0"/>
          <c:showBubbleSize val="0"/>
        </c:dLbls>
        <c:marker val="1"/>
        <c:smooth val="0"/>
        <c:axId val="301972184"/>
        <c:axId val="301972576"/>
      </c:lineChart>
      <c:lineChart>
        <c:grouping val="standard"/>
        <c:varyColors val="0"/>
        <c:ser>
          <c:idx val="1"/>
          <c:order val="1"/>
          <c:tx>
            <c:strRef>
              <c:f>'IV.3.5.Patrim. fp anual'!$E$3</c:f>
              <c:strCache>
                <c:ptCount val="1"/>
                <c:pt idx="0">
                  <c:v>% Patrimonio/ PIB</c:v>
                </c:pt>
              </c:strCache>
            </c:strRef>
          </c:tx>
          <c:spPr>
            <a:ln w="31750">
              <a:solidFill>
                <a:srgbClr val="00B050"/>
              </a:solidFill>
            </a:ln>
          </c:spPr>
          <c:marker>
            <c:symbol val="circle"/>
            <c:size val="9"/>
            <c:spPr>
              <a:gradFill>
                <a:gsLst>
                  <a:gs pos="0">
                    <a:srgbClr val="FFF200"/>
                  </a:gs>
                  <a:gs pos="45000">
                    <a:srgbClr val="FF7A00"/>
                  </a:gs>
                  <a:gs pos="70000">
                    <a:srgbClr val="FF0300"/>
                  </a:gs>
                  <a:gs pos="100000">
                    <a:srgbClr val="4D0808"/>
                  </a:gs>
                </a:gsLst>
                <a:lin ang="5400000" scaled="0"/>
              </a:gradFill>
              <a:ln w="38100">
                <a:solidFill>
                  <a:srgbClr val="FFC000"/>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9262256508685596E-2"/>
                  <c:y val="-4.09160212244051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832813761895857E-2"/>
                  <c:y val="-4.3225644272646913E-2"/>
                </c:manualLayout>
              </c:layout>
              <c:spPr/>
              <c:txPr>
                <a:bodyPr/>
                <a:lstStyle/>
                <a:p>
                  <a:pPr>
                    <a:defRPr sz="1400" b="0"/>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6268620830670402E-2"/>
                  <c:y val="-8.4608130476303042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3.0949469708334447E-2"/>
                  <c:y val="-9.1763520980401678E-2"/>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1"/>
                <c:pt idx="0">
                  <c:v>2005</c:v>
                </c:pt>
                <c:pt idx="1">
                  <c:v>2006</c:v>
                </c:pt>
                <c:pt idx="2">
                  <c:v>2007</c:v>
                </c:pt>
                <c:pt idx="3">
                  <c:v>2008</c:v>
                </c:pt>
                <c:pt idx="4">
                  <c:v>2009</c:v>
                </c:pt>
                <c:pt idx="5">
                  <c:v>2010</c:v>
                </c:pt>
                <c:pt idx="6">
                  <c:v>2011</c:v>
                </c:pt>
                <c:pt idx="7">
                  <c:v>2012</c:v>
                </c:pt>
                <c:pt idx="8">
                  <c:v>2013</c:v>
                </c:pt>
                <c:pt idx="9">
                  <c:v>2014</c:v>
                </c:pt>
                <c:pt idx="10">
                  <c:v>Jun.2015</c:v>
                </c:pt>
              </c:strCache>
            </c:strRef>
          </c:cat>
          <c:val>
            <c:numRef>
              <c:f>'IV.3.5.Patrim. fp anual'!$E$4:$E$16</c:f>
              <c:numCache>
                <c:formatCode>0.00%</c:formatCode>
                <c:ptCount val="11"/>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0.12111863715131388</c:v>
                </c:pt>
              </c:numCache>
            </c:numRef>
          </c:val>
          <c:smooth val="0"/>
        </c:ser>
        <c:dLbls>
          <c:showLegendKey val="0"/>
          <c:showVal val="0"/>
          <c:showCatName val="0"/>
          <c:showSerName val="0"/>
          <c:showPercent val="0"/>
          <c:showBubbleSize val="0"/>
        </c:dLbls>
        <c:marker val="1"/>
        <c:smooth val="0"/>
        <c:axId val="301972968"/>
        <c:axId val="301973360"/>
      </c:lineChart>
      <c:catAx>
        <c:axId val="301972184"/>
        <c:scaling>
          <c:orientation val="minMax"/>
        </c:scaling>
        <c:delete val="0"/>
        <c:axPos val="b"/>
        <c:numFmt formatCode="General" sourceLinked="1"/>
        <c:majorTickMark val="none"/>
        <c:minorTickMark val="none"/>
        <c:tickLblPos val="nextTo"/>
        <c:txPr>
          <a:bodyPr/>
          <a:lstStyle/>
          <a:p>
            <a:pPr>
              <a:defRPr sz="1200"/>
            </a:pPr>
            <a:endParaRPr lang="es-ES"/>
          </a:p>
        </c:txPr>
        <c:crossAx val="301972576"/>
        <c:crosses val="autoZero"/>
        <c:auto val="1"/>
        <c:lblAlgn val="ctr"/>
        <c:lblOffset val="100"/>
        <c:noMultiLvlLbl val="0"/>
      </c:catAx>
      <c:valAx>
        <c:axId val="301972576"/>
        <c:scaling>
          <c:orientation val="minMax"/>
        </c:scaling>
        <c:delete val="0"/>
        <c:axPos val="l"/>
        <c:numFmt formatCode="_(* #,##0.00_);_(* \(#,##0.00\);_(* &quot;-&quot;??_);_(@_)" sourceLinked="1"/>
        <c:majorTickMark val="none"/>
        <c:minorTickMark val="none"/>
        <c:tickLblPos val="nextTo"/>
        <c:crossAx val="301972184"/>
        <c:crosses val="autoZero"/>
        <c:crossBetween val="between"/>
      </c:valAx>
      <c:catAx>
        <c:axId val="301972968"/>
        <c:scaling>
          <c:orientation val="minMax"/>
        </c:scaling>
        <c:delete val="1"/>
        <c:axPos val="b"/>
        <c:numFmt formatCode="General" sourceLinked="1"/>
        <c:majorTickMark val="out"/>
        <c:minorTickMark val="none"/>
        <c:tickLblPos val="nextTo"/>
        <c:crossAx val="301973360"/>
        <c:crosses val="autoZero"/>
        <c:auto val="1"/>
        <c:lblAlgn val="ctr"/>
        <c:lblOffset val="100"/>
        <c:noMultiLvlLbl val="0"/>
      </c:catAx>
      <c:valAx>
        <c:axId val="301973360"/>
        <c:scaling>
          <c:orientation val="minMax"/>
        </c:scaling>
        <c:delete val="0"/>
        <c:axPos val="r"/>
        <c:numFmt formatCode="0.00%" sourceLinked="1"/>
        <c:majorTickMark val="out"/>
        <c:minorTickMark val="none"/>
        <c:tickLblPos val="nextTo"/>
        <c:crossAx val="301972968"/>
        <c:crosses val="max"/>
        <c:crossBetween val="between"/>
      </c:valAx>
    </c:plotArea>
    <c:legend>
      <c:legendPos val="b"/>
      <c:layout>
        <c:manualLayout>
          <c:xMode val="edge"/>
          <c:yMode val="edge"/>
          <c:x val="0.31271169440379015"/>
          <c:y val="0.12823910368134195"/>
          <c:w val="0.38759137942148497"/>
          <c:h val="5.2609036038083694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Inversión de los Fondos de Pensiones por Tipo de Emisor</a:t>
            </a:r>
            <a:endParaRPr lang="es-ES"/>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746132114181477"/>
          <c:y val="0.29187668005818168"/>
          <c:w val="0.57116093341496887"/>
          <c:h val="0.52723826858766187"/>
        </c:manualLayout>
      </c:layout>
      <c:pie3DChart>
        <c:varyColors val="1"/>
        <c:ser>
          <c:idx val="0"/>
          <c:order val="0"/>
          <c:tx>
            <c:strRef>
              <c:f>'IV.3.6.Cartera de inv fp'!$B$3</c:f>
              <c:strCache>
                <c:ptCount val="1"/>
                <c:pt idx="0">
                  <c:v>Inversión </c:v>
                </c:pt>
              </c:strCache>
            </c:strRef>
          </c:tx>
          <c:explosion val="1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789173704170902E-2"/>
                  <c:y val="-3.3155715294744519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1"/>
              <c:layout>
                <c:manualLayout>
                  <c:x val="-5.982905848690971E-3"/>
                  <c:y val="4.144464411843052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fld id="{E2B11A5E-4418-4A84-A41F-F988E1A3CDE3}" type="CATEGORYNAME">
                      <a:rPr lang="en-US">
                        <a:solidFill>
                          <a:sysClr val="windowText" lastClr="000000"/>
                        </a:solidFill>
                      </a:rPr>
                      <a:pPr>
                        <a:defRPr sz="1600">
                          <a:solidFill>
                            <a:sysClr val="windowText" lastClr="000000"/>
                          </a:solidFill>
                        </a:defRPr>
                      </a:pPr>
                      <a:t>[NOMBRE DE CATEGORÍA]</a:t>
                    </a:fld>
                    <a:r>
                      <a:rPr lang="en-US" baseline="0">
                        <a:solidFill>
                          <a:sysClr val="windowText" lastClr="000000"/>
                        </a:solidFill>
                      </a:rPr>
                      <a:t> </a:t>
                    </a:r>
                    <a:fld id="{2935BDA7-A14A-48F3-9B18-83837AF4B5C3}" type="VALUE">
                      <a:rPr lang="en-US" baseline="0">
                        <a:solidFill>
                          <a:sysClr val="windowText" lastClr="000000"/>
                        </a:solidFill>
                      </a:rPr>
                      <a:pPr>
                        <a:defRPr sz="1600">
                          <a:solidFill>
                            <a:sysClr val="windowText" lastClr="000000"/>
                          </a:solidFill>
                        </a:defRPr>
                      </a:pPr>
                      <a:t>[VALOR]</a:t>
                    </a:fld>
                    <a:r>
                      <a:rPr lang="en-US" baseline="0">
                        <a:solidFill>
                          <a:sysClr val="windowText" lastClr="000000"/>
                        </a:solidFill>
                      </a:rPr>
                      <a:t> </a:t>
                    </a:r>
                  </a:p>
                  <a:p>
                    <a:pPr>
                      <a:defRPr sz="1600">
                        <a:solidFill>
                          <a:sysClr val="windowText" lastClr="000000"/>
                        </a:solidFill>
                      </a:defRPr>
                    </a:pPr>
                    <a:fld id="{A107B953-DC03-4019-9FC7-1DF32EC9630D}" type="PERCENTAGE">
                      <a:rPr lang="en-US" baseline="0">
                        <a:solidFill>
                          <a:sysClr val="windowText" lastClr="000000"/>
                        </a:solidFill>
                      </a:rPr>
                      <a:pPr>
                        <a:defRPr sz="16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2.4928774369545409E-2"/>
                  <c:y val="1.8235643412109485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3"/>
              <c:layout>
                <c:manualLayout>
                  <c:x val="-5.3846152638218091E-2"/>
                  <c:y val="0.1210183608258174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fld id="{5E6A1D61-2EA5-46AA-86C7-22E09D88A8D5}" type="CATEGORYNAME">
                      <a:rPr lang="en-US">
                        <a:solidFill>
                          <a:sysClr val="windowText" lastClr="000000"/>
                        </a:solidFill>
                      </a:rPr>
                      <a:pPr>
                        <a:defRPr sz="1600">
                          <a:solidFill>
                            <a:sysClr val="windowText" lastClr="000000"/>
                          </a:solidFill>
                        </a:defRPr>
                      </a:pPr>
                      <a:t>[NOMBRE DE CATEGORÍA]</a:t>
                    </a:fld>
                    <a:r>
                      <a:rPr lang="en-US" baseline="0">
                        <a:solidFill>
                          <a:sysClr val="windowText" lastClr="000000"/>
                        </a:solidFill>
                      </a:rPr>
                      <a:t> </a:t>
                    </a:r>
                    <a:fld id="{6E19EFAC-3097-496F-A2DF-4DC2DF577998}" type="VALUE">
                      <a:rPr lang="en-US" baseline="0">
                        <a:solidFill>
                          <a:sysClr val="windowText" lastClr="000000"/>
                        </a:solidFill>
                      </a:rPr>
                      <a:pPr>
                        <a:defRPr sz="1600">
                          <a:solidFill>
                            <a:sysClr val="windowText" lastClr="000000"/>
                          </a:solidFill>
                        </a:defRPr>
                      </a:pPr>
                      <a:t>[VALOR]</a:t>
                    </a:fld>
                    <a:endParaRPr lang="en-US" baseline="0">
                      <a:solidFill>
                        <a:sysClr val="windowText" lastClr="000000"/>
                      </a:solidFill>
                    </a:endParaRPr>
                  </a:p>
                  <a:p>
                    <a:pPr>
                      <a:defRPr sz="1600">
                        <a:solidFill>
                          <a:sysClr val="windowText" lastClr="000000"/>
                        </a:solidFill>
                      </a:defRPr>
                    </a:pPr>
                    <a:r>
                      <a:rPr lang="en-US" baseline="0">
                        <a:solidFill>
                          <a:sysClr val="windowText" lastClr="000000"/>
                        </a:solidFill>
                      </a:rPr>
                      <a:t> </a:t>
                    </a:r>
                    <a:fld id="{CB3F7AF1-1D6C-4BA6-AEAD-40035D3B1DB4}" type="PERCENTAGE">
                      <a:rPr lang="en-US" baseline="0">
                        <a:solidFill>
                          <a:sysClr val="windowText" lastClr="000000"/>
                        </a:solidFill>
                      </a:rPr>
                      <a:pPr>
                        <a:defRPr sz="1600">
                          <a:solidFill>
                            <a:sysClr val="windowText" lastClr="000000"/>
                          </a:solidFill>
                        </a:defRPr>
                      </a:pPr>
                      <a:t>[PORCENTAJE]</a:t>
                    </a:fld>
                    <a:endParaRPr lang="en-US"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4"/>
              <c:layout>
                <c:manualLayout>
                  <c:x val="-6.0826209461690796E-2"/>
                  <c:y val="8.2889288236861289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fld id="{7B754A0E-EFF1-43AE-B194-DC2AFA0E67B3}" type="CATEGORYNAME">
                      <a:rPr lang="en-US">
                        <a:solidFill>
                          <a:sysClr val="windowText" lastClr="000000"/>
                        </a:solidFill>
                      </a:rPr>
                      <a:pPr>
                        <a:defRPr sz="1600">
                          <a:solidFill>
                            <a:sysClr val="windowText" lastClr="000000"/>
                          </a:solidFill>
                        </a:defRPr>
                      </a:pPr>
                      <a:t>[NOMBRE DE CATEGORÍA]</a:t>
                    </a:fld>
                    <a:r>
                      <a:rPr lang="en-US" baseline="0">
                        <a:solidFill>
                          <a:sysClr val="windowText" lastClr="000000"/>
                        </a:solidFill>
                      </a:rPr>
                      <a:t> </a:t>
                    </a:r>
                    <a:fld id="{1A8C6AD5-165E-4D98-A767-E3039DAEA382}" type="VALUE">
                      <a:rPr lang="en-US" baseline="0">
                        <a:solidFill>
                          <a:sysClr val="windowText" lastClr="000000"/>
                        </a:solidFill>
                      </a:rPr>
                      <a:pPr>
                        <a:defRPr sz="1600">
                          <a:solidFill>
                            <a:sysClr val="windowText" lastClr="000000"/>
                          </a:solidFill>
                        </a:defRPr>
                      </a:pPr>
                      <a:t>[VALOR]</a:t>
                    </a:fld>
                    <a:endParaRPr lang="en-US" baseline="0">
                      <a:solidFill>
                        <a:sysClr val="windowText" lastClr="000000"/>
                      </a:solidFill>
                    </a:endParaRPr>
                  </a:p>
                  <a:p>
                    <a:pPr>
                      <a:defRPr sz="1600">
                        <a:solidFill>
                          <a:sysClr val="windowText" lastClr="000000"/>
                        </a:solidFill>
                      </a:defRPr>
                    </a:pPr>
                    <a:r>
                      <a:rPr lang="en-US" baseline="0">
                        <a:solidFill>
                          <a:sysClr val="windowText" lastClr="000000"/>
                        </a:solidFill>
                      </a:rPr>
                      <a:t> </a:t>
                    </a:r>
                    <a:fld id="{52B35206-6507-46DF-AC9A-2E06D7074CA0}" type="PERCENTAGE">
                      <a:rPr lang="en-US" baseline="0">
                        <a:solidFill>
                          <a:sysClr val="windowText" lastClr="000000"/>
                        </a:solidFill>
                      </a:rPr>
                      <a:pPr>
                        <a:defRPr sz="1600">
                          <a:solidFill>
                            <a:sysClr val="windowText" lastClr="000000"/>
                          </a:solidFill>
                        </a:defRPr>
                      </a:pPr>
                      <a:t>[PORCENTAJE]</a:t>
                    </a:fld>
                    <a:endParaRPr lang="en-US"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5"/>
              <c:layout>
                <c:manualLayout>
                  <c:x val="-2.3931623394763592E-2"/>
                  <c:y val="-0.13262286117897806"/>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fld id="{8002AC98-33CF-4AE9-8A5C-F9DCBAA3248E}" type="CATEGORYNAME">
                      <a:rPr lang="en-US">
                        <a:solidFill>
                          <a:sysClr val="windowText" lastClr="000000"/>
                        </a:solidFill>
                      </a:rPr>
                      <a:pPr>
                        <a:defRPr sz="1600">
                          <a:solidFill>
                            <a:sysClr val="windowText" lastClr="000000"/>
                          </a:solidFill>
                        </a:defRPr>
                      </a:pPr>
                      <a:t>[NOMBRE DE CATEGORÍA]</a:t>
                    </a:fld>
                    <a:r>
                      <a:rPr lang="en-US" baseline="0">
                        <a:solidFill>
                          <a:sysClr val="windowText" lastClr="000000"/>
                        </a:solidFill>
                      </a:rPr>
                      <a:t> </a:t>
                    </a:r>
                    <a:fld id="{F15A1B03-C4B5-4A8E-884E-63C90A2839F1}" type="VALUE">
                      <a:rPr lang="en-US" baseline="0">
                        <a:solidFill>
                          <a:sysClr val="windowText" lastClr="000000"/>
                        </a:solidFill>
                      </a:rPr>
                      <a:pPr>
                        <a:defRPr sz="1600">
                          <a:solidFill>
                            <a:sysClr val="windowText" lastClr="000000"/>
                          </a:solidFill>
                        </a:defRPr>
                      </a:pPr>
                      <a:t>[VALOR]</a:t>
                    </a:fld>
                    <a:endParaRPr lang="en-US" baseline="0">
                      <a:solidFill>
                        <a:sysClr val="windowText" lastClr="000000"/>
                      </a:solidFill>
                    </a:endParaRPr>
                  </a:p>
                  <a:p>
                    <a:pPr>
                      <a:defRPr sz="1600">
                        <a:solidFill>
                          <a:sysClr val="windowText" lastClr="000000"/>
                        </a:solidFill>
                      </a:defRPr>
                    </a:pPr>
                    <a:r>
                      <a:rPr lang="en-US" baseline="0">
                        <a:solidFill>
                          <a:sysClr val="windowText" lastClr="000000"/>
                        </a:solidFill>
                      </a:rPr>
                      <a:t> </a:t>
                    </a:r>
                    <a:fld id="{6392D63D-6366-4F04-AF20-DBDDA5F76D5A}" type="PERCENTAGE">
                      <a:rPr lang="en-US" baseline="0">
                        <a:solidFill>
                          <a:sysClr val="windowText" lastClr="000000"/>
                        </a:solidFill>
                      </a:rPr>
                      <a:pPr>
                        <a:defRPr sz="1600">
                          <a:solidFill>
                            <a:sysClr val="windowText" lastClr="000000"/>
                          </a:solidFill>
                        </a:defRPr>
                      </a:pPr>
                      <a:t>[PORCENTAJE]</a:t>
                    </a:fld>
                    <a:endParaRPr lang="en-US"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6"/>
              <c:layout>
                <c:manualLayout>
                  <c:x val="-1.4957264621727244E-2"/>
                  <c:y val="-6.299585906001459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7"/>
              <c:layout>
                <c:manualLayout>
                  <c:x val="1.7948717546072693E-2"/>
                  <c:y val="-4.310242988316787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fld id="{0F125280-4673-4C86-8891-33DA9B931270}" type="CATEGORYNAME">
                      <a:rPr lang="en-US">
                        <a:solidFill>
                          <a:sysClr val="windowText" lastClr="000000"/>
                        </a:solidFill>
                      </a:rPr>
                      <a:pPr>
                        <a:defRPr sz="1600">
                          <a:solidFill>
                            <a:sysClr val="windowText" lastClr="000000"/>
                          </a:solidFill>
                        </a:defRPr>
                      </a:pPr>
                      <a:t>[NOMBRE DE CATEGORÍA]</a:t>
                    </a:fld>
                    <a:r>
                      <a:rPr lang="en-US" baseline="0">
                        <a:solidFill>
                          <a:sysClr val="windowText" lastClr="000000"/>
                        </a:solidFill>
                      </a:rPr>
                      <a:t> </a:t>
                    </a:r>
                    <a:fld id="{E559E465-A6B8-49BC-A348-F981B5C458D2}" type="VALUE">
                      <a:rPr lang="en-US" baseline="0">
                        <a:solidFill>
                          <a:sysClr val="windowText" lastClr="000000"/>
                        </a:solidFill>
                      </a:rPr>
                      <a:pPr>
                        <a:defRPr sz="1600">
                          <a:solidFill>
                            <a:sysClr val="windowText" lastClr="000000"/>
                          </a:solidFill>
                        </a:defRPr>
                      </a:pPr>
                      <a:t>[VALOR]</a:t>
                    </a:fld>
                    <a:r>
                      <a:rPr lang="en-US" baseline="0">
                        <a:solidFill>
                          <a:sysClr val="windowText" lastClr="000000"/>
                        </a:solidFill>
                      </a:rPr>
                      <a:t> </a:t>
                    </a:r>
                  </a:p>
                  <a:p>
                    <a:pPr>
                      <a:defRPr sz="1600">
                        <a:solidFill>
                          <a:sysClr val="windowText" lastClr="000000"/>
                        </a:solidFill>
                      </a:defRPr>
                    </a:pPr>
                    <a:fld id="{4C2B2944-2465-4231-87CF-54647B3339A8}" type="PERCENTAGE">
                      <a:rPr lang="en-US" baseline="0">
                        <a:solidFill>
                          <a:sysClr val="windowText" lastClr="000000"/>
                        </a:solidFill>
                      </a:rPr>
                      <a:pPr>
                        <a:defRPr sz="16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Asociación de Ahorros y Préstamos</c:v>
                </c:pt>
                <c:pt idx="2">
                  <c:v>Bancos Múltiples</c:v>
                </c:pt>
                <c:pt idx="3">
                  <c:v>Bancos de Ahorro y Crédito</c:v>
                </c:pt>
                <c:pt idx="4">
                  <c:v>Banco Nacional de la Vivienda (BNV)</c:v>
                </c:pt>
                <c:pt idx="5">
                  <c:v>Empresas Privadas</c:v>
                </c:pt>
                <c:pt idx="6">
                  <c:v>Cartera Ministerio de Hacienda</c:v>
                </c:pt>
                <c:pt idx="7">
                  <c:v>Organismos Multilarerales</c:v>
                </c:pt>
              </c:strCache>
            </c:strRef>
          </c:cat>
          <c:val>
            <c:numRef>
              <c:f>'IV.3.6.Cartera de inv fp'!$B$4:$B$11</c:f>
              <c:numCache>
                <c:formatCode>"RD$"#,##0.00</c:formatCode>
                <c:ptCount val="8"/>
                <c:pt idx="0">
                  <c:v>148605878468.64001</c:v>
                </c:pt>
                <c:pt idx="1">
                  <c:v>9318223551.7099991</c:v>
                </c:pt>
                <c:pt idx="2">
                  <c:v>83570007185.960007</c:v>
                </c:pt>
                <c:pt idx="3">
                  <c:v>1244513378.8299999</c:v>
                </c:pt>
                <c:pt idx="4">
                  <c:v>881129804.83000004</c:v>
                </c:pt>
                <c:pt idx="5">
                  <c:v>7333431186.6700001</c:v>
                </c:pt>
                <c:pt idx="6">
                  <c:v>59131422877.260002</c:v>
                </c:pt>
                <c:pt idx="7">
                  <c:v>343003209.80000001</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4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3105865529469288"/>
          <c:y val="0.3535421757927158"/>
          <c:w val="0.4818322714802174"/>
          <c:h val="0.43691870971238167"/>
        </c:manualLayout>
      </c:layout>
      <c:pie3DChart>
        <c:varyColors val="1"/>
        <c:ser>
          <c:idx val="0"/>
          <c:order val="0"/>
          <c:tx>
            <c:strRef>
              <c:f>'IV.3.7. Comp. Cartera'!$B$3</c:f>
              <c:strCache>
                <c:ptCount val="1"/>
                <c:pt idx="0">
                  <c:v>Inversión </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8.2232003190212469E-3"/>
                  <c:y val="1.51816357196394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fld id="{2C5F8580-5695-49E1-8CAE-B98ABF2BD588}" type="CATEGORYNAME">
                      <a:rPr lang="en-US">
                        <a:solidFill>
                          <a:sysClr val="windowText" lastClr="000000"/>
                        </a:solidFill>
                      </a:rPr>
                      <a:pPr>
                        <a:defRPr sz="1600">
                          <a:solidFill>
                            <a:sysClr val="windowText" lastClr="000000"/>
                          </a:solidFill>
                        </a:defRPr>
                      </a:pPr>
                      <a:t>[NOMBRE DE CATEGORÍA]</a:t>
                    </a:fld>
                    <a:r>
                      <a:rPr lang="en-US" baseline="0">
                        <a:solidFill>
                          <a:sysClr val="windowText" lastClr="000000"/>
                        </a:solidFill>
                      </a:rPr>
                      <a:t> </a:t>
                    </a:r>
                    <a:fld id="{2766819D-5483-4D53-B698-89027853653A}" type="VALUE">
                      <a:rPr lang="en-US" baseline="0">
                        <a:solidFill>
                          <a:sysClr val="windowText" lastClr="000000"/>
                        </a:solidFill>
                      </a:rPr>
                      <a:pPr>
                        <a:defRPr sz="1600">
                          <a:solidFill>
                            <a:sysClr val="windowText" lastClr="000000"/>
                          </a:solidFill>
                        </a:defRPr>
                      </a:pPr>
                      <a:t>[VALOR]</a:t>
                    </a:fld>
                    <a:endParaRPr lang="en-US" baseline="0">
                      <a:solidFill>
                        <a:sysClr val="windowText" lastClr="000000"/>
                      </a:solidFill>
                    </a:endParaRPr>
                  </a:p>
                  <a:p>
                    <a:pPr>
                      <a:defRPr sz="1600">
                        <a:solidFill>
                          <a:sysClr val="windowText" lastClr="000000"/>
                        </a:solidFill>
                      </a:defRPr>
                    </a:pPr>
                    <a:r>
                      <a:rPr lang="en-US" baseline="0">
                        <a:solidFill>
                          <a:sysClr val="windowText" lastClr="000000"/>
                        </a:solidFill>
                      </a:rPr>
                      <a:t> </a:t>
                    </a:r>
                    <a:fld id="{716A03FD-FED4-4DA4-8823-EB789EFE7CF9}" type="PERCENTAGE">
                      <a:rPr lang="en-US" baseline="0">
                        <a:solidFill>
                          <a:sysClr val="windowText" lastClr="000000"/>
                        </a:solidFill>
                      </a:rPr>
                      <a:pPr>
                        <a:defRPr sz="1600">
                          <a:solidFill>
                            <a:sysClr val="windowText" lastClr="000000"/>
                          </a:solidFill>
                        </a:defRPr>
                      </a:pPr>
                      <a:t>[PORCENTAJE]</a:t>
                    </a:fld>
                    <a:endParaRPr lang="en-US"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3.3920701315962878E-2"/>
                  <c:y val="-3.036327143927883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fld id="{C1AE6568-C7BE-40C9-B375-AEC6CB7CCE9A}" type="CATEGORYNAME">
                      <a:rPr lang="en-US">
                        <a:solidFill>
                          <a:sysClr val="windowText" lastClr="000000"/>
                        </a:solidFill>
                      </a:rPr>
                      <a:pPr>
                        <a:defRPr sz="1600">
                          <a:solidFill>
                            <a:sysClr val="windowText" lastClr="000000"/>
                          </a:solidFill>
                        </a:defRPr>
                      </a:pPr>
                      <a:t>[NOMBRE DE CATEGORÍA]</a:t>
                    </a:fld>
                    <a:r>
                      <a:rPr lang="en-US" baseline="0">
                        <a:solidFill>
                          <a:sysClr val="windowText" lastClr="000000"/>
                        </a:solidFill>
                      </a:rPr>
                      <a:t> </a:t>
                    </a:r>
                    <a:fld id="{D5773589-3AEB-40AE-A430-8730700BC3BB}" type="VALUE">
                      <a:rPr lang="en-US" baseline="0">
                        <a:solidFill>
                          <a:sysClr val="windowText" lastClr="000000"/>
                        </a:solidFill>
                      </a:rPr>
                      <a:pPr>
                        <a:defRPr sz="1600">
                          <a:solidFill>
                            <a:sysClr val="windowText" lastClr="000000"/>
                          </a:solidFill>
                        </a:defRPr>
                      </a:pPr>
                      <a:t>[VALOR]</a:t>
                    </a:fld>
                    <a:endParaRPr lang="en-US" baseline="0">
                      <a:solidFill>
                        <a:sysClr val="windowText" lastClr="000000"/>
                      </a:solidFill>
                    </a:endParaRPr>
                  </a:p>
                  <a:p>
                    <a:pPr>
                      <a:defRPr sz="1600">
                        <a:solidFill>
                          <a:sysClr val="windowText" lastClr="000000"/>
                        </a:solidFill>
                      </a:defRPr>
                    </a:pPr>
                    <a:r>
                      <a:rPr lang="en-US" baseline="0">
                        <a:solidFill>
                          <a:sysClr val="windowText" lastClr="000000"/>
                        </a:solidFill>
                      </a:rPr>
                      <a:t> </a:t>
                    </a:r>
                    <a:fld id="{AEDD9811-1EF2-4CCF-9682-8842CC094233}" type="PERCENTAGE">
                      <a:rPr lang="en-US" baseline="0">
                        <a:solidFill>
                          <a:sysClr val="windowText" lastClr="000000"/>
                        </a:solidFill>
                      </a:rPr>
                      <a:pPr>
                        <a:defRPr sz="1600">
                          <a:solidFill>
                            <a:sysClr val="windowText" lastClr="000000"/>
                          </a:solidFill>
                        </a:defRPr>
                      </a:pPr>
                      <a:t>[PORCENTAJE]</a:t>
                    </a:fld>
                    <a:endParaRPr lang="en-US"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2.4669600957063966E-2"/>
                  <c:y val="5.903969446526440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fld id="{C1E48311-297E-4399-B114-4C6A8314584B}" type="CATEGORYNAME">
                      <a:rPr lang="en-US">
                        <a:solidFill>
                          <a:sysClr val="windowText" lastClr="000000"/>
                        </a:solidFill>
                      </a:rPr>
                      <a:pPr>
                        <a:defRPr sz="1600">
                          <a:solidFill>
                            <a:sysClr val="windowText" lastClr="000000"/>
                          </a:solidFill>
                        </a:defRPr>
                      </a:pPr>
                      <a:t>[NOMBRE DE CATEGORÍA]</a:t>
                    </a:fld>
                    <a:r>
                      <a:rPr lang="en-US" baseline="0">
                        <a:solidFill>
                          <a:sysClr val="windowText" lastClr="000000"/>
                        </a:solidFill>
                      </a:rPr>
                      <a:t> </a:t>
                    </a:r>
                    <a:fld id="{DDBD0C40-8F26-424B-B622-0E79229951D3}" type="VALUE">
                      <a:rPr lang="en-US" baseline="0">
                        <a:solidFill>
                          <a:sysClr val="windowText" lastClr="000000"/>
                        </a:solidFill>
                      </a:rPr>
                      <a:pPr>
                        <a:defRPr sz="1600">
                          <a:solidFill>
                            <a:sysClr val="windowText" lastClr="000000"/>
                          </a:solidFill>
                        </a:defRPr>
                      </a:pPr>
                      <a:t>[VALOR]</a:t>
                    </a:fld>
                    <a:endParaRPr lang="en-US" baseline="0">
                      <a:solidFill>
                        <a:sysClr val="windowText" lastClr="000000"/>
                      </a:solidFill>
                    </a:endParaRPr>
                  </a:p>
                  <a:p>
                    <a:pPr>
                      <a:defRPr sz="1600">
                        <a:solidFill>
                          <a:sysClr val="windowText" lastClr="000000"/>
                        </a:solidFill>
                      </a:defRPr>
                    </a:pPr>
                    <a:r>
                      <a:rPr lang="en-US" baseline="0">
                        <a:solidFill>
                          <a:sysClr val="windowText" lastClr="000000"/>
                        </a:solidFill>
                      </a:rPr>
                      <a:t> </a:t>
                    </a:r>
                    <a:fld id="{AE53AE85-6D73-4AC4-BEF7-BC46785E81EE}" type="PERCENTAGE">
                      <a:rPr lang="en-US" baseline="0">
                        <a:solidFill>
                          <a:sysClr val="windowText" lastClr="000000"/>
                        </a:solidFill>
                      </a:rPr>
                      <a:pPr>
                        <a:defRPr sz="1600">
                          <a:solidFill>
                            <a:sysClr val="windowText" lastClr="000000"/>
                          </a:solidFill>
                        </a:defRPr>
                      </a:pPr>
                      <a:t>[PORCENTAJE]</a:t>
                    </a:fld>
                    <a:endParaRPr lang="en-US"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3"/>
              <c:layout>
                <c:manualLayout>
                  <c:x val="-6.1674002392659915E-3"/>
                  <c:y val="3.54238166791585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fld id="{15DC9855-B0F7-45E4-87C9-6CBDBF5897DC}" type="CATEGORYNAME">
                      <a:rPr lang="en-US">
                        <a:solidFill>
                          <a:sysClr val="windowText" lastClr="000000"/>
                        </a:solidFill>
                      </a:rPr>
                      <a:pPr>
                        <a:defRPr sz="1600">
                          <a:solidFill>
                            <a:sysClr val="windowText" lastClr="000000"/>
                          </a:solidFill>
                        </a:defRPr>
                      </a:pPr>
                      <a:t>[NOMBRE DE CATEGORÍA]</a:t>
                    </a:fld>
                    <a:r>
                      <a:rPr lang="en-US" baseline="0">
                        <a:solidFill>
                          <a:sysClr val="windowText" lastClr="000000"/>
                        </a:solidFill>
                      </a:rPr>
                      <a:t> </a:t>
                    </a:r>
                    <a:fld id="{97318881-96CA-40E5-B8A7-70FA7E6E3B44}" type="VALUE">
                      <a:rPr lang="en-US" baseline="0">
                        <a:solidFill>
                          <a:sysClr val="windowText" lastClr="000000"/>
                        </a:solidFill>
                      </a:rPr>
                      <a:pPr>
                        <a:defRPr sz="1600">
                          <a:solidFill>
                            <a:sysClr val="windowText" lastClr="000000"/>
                          </a:solidFill>
                        </a:defRPr>
                      </a:pPr>
                      <a:t>[VALOR]</a:t>
                    </a:fld>
                    <a:endParaRPr lang="en-US" baseline="0">
                      <a:solidFill>
                        <a:sysClr val="windowText" lastClr="000000"/>
                      </a:solidFill>
                    </a:endParaRPr>
                  </a:p>
                  <a:p>
                    <a:pPr>
                      <a:defRPr sz="1600">
                        <a:solidFill>
                          <a:sysClr val="windowText" lastClr="000000"/>
                        </a:solidFill>
                      </a:defRPr>
                    </a:pPr>
                    <a:r>
                      <a:rPr lang="en-US" baseline="0">
                        <a:solidFill>
                          <a:sysClr val="windowText" lastClr="000000"/>
                        </a:solidFill>
                      </a:rPr>
                      <a:t> </a:t>
                    </a:r>
                    <a:fld id="{6A2C07A7-347A-4519-8E2A-1E9694370CF2}" type="PERCENTAGE">
                      <a:rPr lang="en-US" baseline="0">
                        <a:solidFill>
                          <a:sysClr val="windowText" lastClr="000000"/>
                        </a:solidFill>
                      </a:rPr>
                      <a:pPr>
                        <a:defRPr sz="1600">
                          <a:solidFill>
                            <a:sysClr val="windowText" lastClr="000000"/>
                          </a:solidFill>
                        </a:defRPr>
                      </a:pPr>
                      <a:t>[PORCENTAJE]</a:t>
                    </a:fld>
                    <a:endParaRPr lang="en-US"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4"/>
              <c:layout>
                <c:manualLayout>
                  <c:x val="-1.5418500598164979E-2"/>
                  <c:y val="2.02421809595192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fld id="{DC321B10-7537-4070-A354-37B53A06A7F2}" type="CATEGORYNAME">
                      <a:rPr lang="en-US">
                        <a:solidFill>
                          <a:sysClr val="windowText" lastClr="000000"/>
                        </a:solidFill>
                      </a:rPr>
                      <a:pPr>
                        <a:defRPr sz="1600">
                          <a:solidFill>
                            <a:sysClr val="windowText" lastClr="000000"/>
                          </a:solidFill>
                        </a:defRPr>
                      </a:pPr>
                      <a:t>[NOMBRE DE CATEGORÍA]</a:t>
                    </a:fld>
                    <a:r>
                      <a:rPr lang="en-US" baseline="0">
                        <a:solidFill>
                          <a:sysClr val="windowText" lastClr="000000"/>
                        </a:solidFill>
                      </a:rPr>
                      <a:t> </a:t>
                    </a:r>
                    <a:fld id="{717F9BE8-0420-4556-AB2A-E4957F68AD9E}" type="VALUE">
                      <a:rPr lang="en-US" baseline="0">
                        <a:solidFill>
                          <a:sysClr val="windowText" lastClr="000000"/>
                        </a:solidFill>
                      </a:rPr>
                      <a:pPr>
                        <a:defRPr sz="1600">
                          <a:solidFill>
                            <a:sysClr val="windowText" lastClr="000000"/>
                          </a:solidFill>
                        </a:defRPr>
                      </a:pPr>
                      <a:t>[VALOR]</a:t>
                    </a:fld>
                    <a:r>
                      <a:rPr lang="en-US" baseline="0">
                        <a:solidFill>
                          <a:sysClr val="windowText" lastClr="000000"/>
                        </a:solidFill>
                      </a:rPr>
                      <a:t> </a:t>
                    </a:r>
                  </a:p>
                  <a:p>
                    <a:pPr>
                      <a:defRPr sz="1600">
                        <a:solidFill>
                          <a:sysClr val="windowText" lastClr="000000"/>
                        </a:solidFill>
                      </a:defRPr>
                    </a:pPr>
                    <a:fld id="{CF5F5803-2D4D-43BC-8354-4FB7537557A0}" type="PERCENTAGE">
                      <a:rPr lang="en-US" baseline="0">
                        <a:solidFill>
                          <a:sysClr val="windowText" lastClr="000000"/>
                        </a:solidFill>
                      </a:rPr>
                      <a:pPr>
                        <a:defRPr sz="16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5"/>
              <c:layout>
                <c:manualLayout>
                  <c:x val="-6.9897202711681261E-2"/>
                  <c:y val="2.867642302598550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fld id="{5E5E0E24-C44D-4F78-B3B3-3D361251B035}" type="CATEGORYNAME">
                      <a:rPr lang="en-US">
                        <a:solidFill>
                          <a:sysClr val="windowText" lastClr="000000"/>
                        </a:solidFill>
                      </a:rPr>
                      <a:pPr>
                        <a:defRPr sz="1600">
                          <a:solidFill>
                            <a:sysClr val="windowText" lastClr="000000"/>
                          </a:solidFill>
                        </a:defRPr>
                      </a:pPr>
                      <a:t>[NOMBRE DE CATEGORÍA]</a:t>
                    </a:fld>
                    <a:r>
                      <a:rPr lang="en-US" baseline="0">
                        <a:solidFill>
                          <a:sysClr val="windowText" lastClr="000000"/>
                        </a:solidFill>
                      </a:rPr>
                      <a:t> </a:t>
                    </a:r>
                    <a:fld id="{1C397019-F64D-4EAF-8501-9BB6B35CB89A}" type="VALUE">
                      <a:rPr lang="en-US" baseline="0">
                        <a:solidFill>
                          <a:sysClr val="windowText" lastClr="000000"/>
                        </a:solidFill>
                      </a:rPr>
                      <a:pPr>
                        <a:defRPr sz="1600">
                          <a:solidFill>
                            <a:sysClr val="windowText" lastClr="000000"/>
                          </a:solidFill>
                        </a:defRPr>
                      </a:pPr>
                      <a:t>[VALOR]</a:t>
                    </a:fld>
                    <a:r>
                      <a:rPr lang="en-US" baseline="0">
                        <a:solidFill>
                          <a:sysClr val="windowText" lastClr="000000"/>
                        </a:solidFill>
                      </a:rPr>
                      <a:t> </a:t>
                    </a:r>
                  </a:p>
                  <a:p>
                    <a:pPr>
                      <a:defRPr sz="1600">
                        <a:solidFill>
                          <a:sysClr val="windowText" lastClr="000000"/>
                        </a:solidFill>
                      </a:defRPr>
                    </a:pPr>
                    <a:fld id="{99570B61-3A84-40DE-A585-05218AC2B225}" type="PERCENTAGE">
                      <a:rPr lang="en-US" baseline="0">
                        <a:solidFill>
                          <a:sysClr val="windowText" lastClr="000000"/>
                        </a:solidFill>
                      </a:rPr>
                      <a:pPr>
                        <a:defRPr sz="16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6"/>
              <c:layout>
                <c:manualLayout>
                  <c:x val="-6.2701902432537621E-2"/>
                  <c:y val="-7.590817859819709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fld id="{1899783F-A8CE-4701-B47D-758BC26E58C1}" type="CATEGORYNAME">
                      <a:rPr lang="en-US">
                        <a:solidFill>
                          <a:sysClr val="windowText" lastClr="000000"/>
                        </a:solidFill>
                      </a:rPr>
                      <a:pPr>
                        <a:defRPr sz="1600">
                          <a:solidFill>
                            <a:sysClr val="windowText" lastClr="000000"/>
                          </a:solidFill>
                        </a:defRPr>
                      </a:pPr>
                      <a:t>[NOMBRE DE CATEGORÍA]</a:t>
                    </a:fld>
                    <a:r>
                      <a:rPr lang="en-US" baseline="0">
                        <a:solidFill>
                          <a:sysClr val="windowText" lastClr="000000"/>
                        </a:solidFill>
                      </a:rPr>
                      <a:t> </a:t>
                    </a:r>
                    <a:fld id="{3C7D423C-11E7-439A-AABF-DB497DA79F85}" type="VALUE">
                      <a:rPr lang="en-US" baseline="0">
                        <a:solidFill>
                          <a:sysClr val="windowText" lastClr="000000"/>
                        </a:solidFill>
                      </a:rPr>
                      <a:pPr>
                        <a:defRPr sz="1600">
                          <a:solidFill>
                            <a:sysClr val="windowText" lastClr="000000"/>
                          </a:solidFill>
                        </a:defRPr>
                      </a:pPr>
                      <a:t>[VALOR]</a:t>
                    </a:fld>
                    <a:endParaRPr lang="en-US" baseline="0">
                      <a:solidFill>
                        <a:sysClr val="windowText" lastClr="000000"/>
                      </a:solidFill>
                    </a:endParaRPr>
                  </a:p>
                  <a:p>
                    <a:pPr>
                      <a:defRPr sz="1600">
                        <a:solidFill>
                          <a:sysClr val="windowText" lastClr="000000"/>
                        </a:solidFill>
                      </a:defRPr>
                    </a:pPr>
                    <a:r>
                      <a:rPr lang="en-US" baseline="0">
                        <a:solidFill>
                          <a:sysClr val="windowText" lastClr="000000"/>
                        </a:solidFill>
                      </a:rPr>
                      <a:t> </a:t>
                    </a:r>
                    <a:fld id="{E3458BB1-9DB8-43EC-AD91-9CD166C2503E}" type="PERCENTAGE">
                      <a:rPr lang="en-US" baseline="0">
                        <a:solidFill>
                          <a:sysClr val="windowText" lastClr="000000"/>
                        </a:solidFill>
                      </a:rPr>
                      <a:pPr>
                        <a:defRPr sz="1600">
                          <a:solidFill>
                            <a:sysClr val="windowText" lastClr="000000"/>
                          </a:solidFill>
                        </a:defRPr>
                      </a:pPr>
                      <a:t>[PORCENTAJE]</a:t>
                    </a:fld>
                    <a:endParaRPr lang="en-US"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7"/>
              <c:layout>
                <c:manualLayout>
                  <c:x val="0.16240820630067113"/>
                  <c:y val="-6.072654287855767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fld id="{5BAE4747-6995-4ABD-B2D2-5620D25ECDB9}" type="CATEGORYNAME">
                      <a:rPr lang="en-US">
                        <a:solidFill>
                          <a:sysClr val="windowText" lastClr="000000"/>
                        </a:solidFill>
                      </a:rPr>
                      <a:pPr>
                        <a:defRPr sz="1600">
                          <a:solidFill>
                            <a:sysClr val="windowText" lastClr="000000"/>
                          </a:solidFill>
                        </a:defRPr>
                      </a:pPr>
                      <a:t>[NOMBRE DE CATEGORÍA]</a:t>
                    </a:fld>
                    <a:r>
                      <a:rPr lang="en-US" baseline="0">
                        <a:solidFill>
                          <a:sysClr val="windowText" lastClr="000000"/>
                        </a:solidFill>
                      </a:rPr>
                      <a:t> </a:t>
                    </a:r>
                    <a:fld id="{937483AC-568F-4E53-9C63-B118988C8697}" type="VALUE">
                      <a:rPr lang="en-US" baseline="0">
                        <a:solidFill>
                          <a:sysClr val="windowText" lastClr="000000"/>
                        </a:solidFill>
                      </a:rPr>
                      <a:pPr>
                        <a:defRPr sz="1600">
                          <a:solidFill>
                            <a:sysClr val="windowText" lastClr="000000"/>
                          </a:solidFill>
                        </a:defRPr>
                      </a:pPr>
                      <a:t>[VALOR]</a:t>
                    </a:fld>
                    <a:endParaRPr lang="en-US" baseline="0">
                      <a:solidFill>
                        <a:sysClr val="windowText" lastClr="000000"/>
                      </a:solidFill>
                    </a:endParaRPr>
                  </a:p>
                  <a:p>
                    <a:pPr>
                      <a:defRPr sz="1600">
                        <a:solidFill>
                          <a:sysClr val="windowText" lastClr="000000"/>
                        </a:solidFill>
                      </a:defRPr>
                    </a:pPr>
                    <a:r>
                      <a:rPr lang="en-US" baseline="0">
                        <a:solidFill>
                          <a:sysClr val="windowText" lastClr="000000"/>
                        </a:solidFill>
                      </a:rPr>
                      <a:t> </a:t>
                    </a:r>
                    <a:fld id="{66FD5FB2-022C-414F-80C0-77289E0592E7}" type="PERCENTAGE">
                      <a:rPr lang="en-US" baseline="0">
                        <a:solidFill>
                          <a:sysClr val="windowText" lastClr="000000"/>
                        </a:solidFill>
                      </a:rPr>
                      <a:pPr>
                        <a:defRPr sz="1600">
                          <a:solidFill>
                            <a:sysClr val="windowText" lastClr="000000"/>
                          </a:solidFill>
                        </a:defRPr>
                      </a:pPr>
                      <a:t>[PORCENTAJE]</a:t>
                    </a:fld>
                    <a:endParaRPr lang="en-US"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fld id="{A969348D-D9BE-4209-82BE-DBF97890758B}" type="CATEGORYNAME">
                      <a:rPr lang="en-US">
                        <a:solidFill>
                          <a:sysClr val="windowText" lastClr="000000"/>
                        </a:solidFill>
                      </a:rPr>
                      <a:pPr>
                        <a:defRPr sz="1600">
                          <a:solidFill>
                            <a:sysClr val="windowText" lastClr="000000"/>
                          </a:solidFill>
                        </a:defRPr>
                      </a:pPr>
                      <a:t>[NOMBRE DE CATEGORÍA]</a:t>
                    </a:fld>
                    <a:r>
                      <a:rPr lang="en-US" baseline="0">
                        <a:solidFill>
                          <a:sysClr val="windowText" lastClr="000000"/>
                        </a:solidFill>
                      </a:rPr>
                      <a:t> </a:t>
                    </a:r>
                    <a:fld id="{7576F30D-56DC-4DBC-A565-7DA3C054F768}" type="VALUE">
                      <a:rPr lang="en-US" baseline="0">
                        <a:solidFill>
                          <a:sysClr val="windowText" lastClr="000000"/>
                        </a:solidFill>
                      </a:rPr>
                      <a:pPr>
                        <a:defRPr sz="1600">
                          <a:solidFill>
                            <a:sysClr val="windowText" lastClr="000000"/>
                          </a:solidFill>
                        </a:defRPr>
                      </a:pPr>
                      <a:t>[VALOR]</a:t>
                    </a:fld>
                    <a:r>
                      <a:rPr lang="en-US" baseline="0">
                        <a:solidFill>
                          <a:sysClr val="windowText" lastClr="000000"/>
                        </a:solidFill>
                      </a:rPr>
                      <a:t> </a:t>
                    </a:r>
                  </a:p>
                  <a:p>
                    <a:pPr>
                      <a:defRPr sz="1600">
                        <a:solidFill>
                          <a:sysClr val="windowText" lastClr="000000"/>
                        </a:solidFill>
                      </a:defRPr>
                    </a:pPr>
                    <a:fld id="{A7F2FD1D-E454-443E-BB38-CA53344AECE6}" type="PERCENTAGE">
                      <a:rPr lang="en-US" baseline="0">
                        <a:solidFill>
                          <a:sysClr val="windowText" lastClr="000000"/>
                        </a:solidFill>
                      </a:rPr>
                      <a:pPr>
                        <a:defRPr sz="16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Cartera'!$A$4:$A$12</c:f>
              <c:strCache>
                <c:ptCount val="9"/>
                <c:pt idx="0">
                  <c:v>Bonos del Gobierno Central</c:v>
                </c:pt>
                <c:pt idx="1">
                  <c:v>Nota de Renta Fija </c:v>
                </c:pt>
                <c:pt idx="2">
                  <c:v>Letras hipotecarias</c:v>
                </c:pt>
                <c:pt idx="3">
                  <c:v>Certificados de Ventanillas </c:v>
                </c:pt>
                <c:pt idx="4">
                  <c:v>Certificados de Depósitos</c:v>
                </c:pt>
                <c:pt idx="5">
                  <c:v>Bonos Subordinados</c:v>
                </c:pt>
                <c:pt idx="6">
                  <c:v>Bonos Corporativos</c:v>
                </c:pt>
                <c:pt idx="7">
                  <c:v>Bonos Ordinarios</c:v>
                </c:pt>
                <c:pt idx="8">
                  <c:v>Otras Inversiones</c:v>
                </c:pt>
              </c:strCache>
            </c:strRef>
          </c:cat>
          <c:val>
            <c:numRef>
              <c:f>'IV.3.7. Comp. Cartera'!$B$4:$B$12</c:f>
              <c:numCache>
                <c:formatCode>_(* #,##0.00_);_(* \(#,##0.00\);_(* "-"??_);_(@_)</c:formatCode>
                <c:ptCount val="9"/>
                <c:pt idx="0">
                  <c:v>59131422877.260002</c:v>
                </c:pt>
                <c:pt idx="1">
                  <c:v>30880718160.110001</c:v>
                </c:pt>
                <c:pt idx="2">
                  <c:v>881129804.83000004</c:v>
                </c:pt>
                <c:pt idx="3">
                  <c:v>117725160308.53</c:v>
                </c:pt>
                <c:pt idx="4">
                  <c:v>71362475814.600006</c:v>
                </c:pt>
                <c:pt idx="5">
                  <c:v>11048963116.690001</c:v>
                </c:pt>
                <c:pt idx="6">
                  <c:v>18398930293.359997</c:v>
                </c:pt>
                <c:pt idx="7">
                  <c:v>343003209.80000001</c:v>
                </c:pt>
                <c:pt idx="8">
                  <c:v>655806078.51999998</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overlay val="1"/>
    </c:title>
    <c:autoTitleDeleted val="0"/>
    <c:plotArea>
      <c:layout>
        <c:manualLayout>
          <c:layoutTarget val="inner"/>
          <c:xMode val="edge"/>
          <c:yMode val="edge"/>
          <c:x val="4.3137712810972145E-2"/>
          <c:y val="0.21121128135399883"/>
          <c:w val="0.9319744364438467"/>
          <c:h val="0.58360783539130012"/>
        </c:manualLayout>
      </c:layout>
      <c:lineChart>
        <c:grouping val="standard"/>
        <c:varyColors val="0"/>
        <c:ser>
          <c:idx val="0"/>
          <c:order val="0"/>
          <c:tx>
            <c:strRef>
              <c:f>'IV.3.8. Rent. nom. de los FP'!$B$4</c:f>
              <c:strCache>
                <c:ptCount val="1"/>
                <c:pt idx="0">
                  <c:v>Promedio CCI</c:v>
                </c:pt>
              </c:strCache>
            </c:strRef>
          </c:tx>
          <c:dLbls>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 Rent. nom. de los FP'!$A$7:$A$62</c15:sqref>
                  </c15:fullRef>
                </c:ext>
              </c:extLst>
              <c:f>('IV.3.8. Rent. nom. de los FP'!$A$7:$A$60,'IV.3.8. Rent. nom. de los FP'!$A$62)</c:f>
              <c:strCache>
                <c:ptCount val="23"/>
                <c:pt idx="0">
                  <c:v>Dec-05</c:v>
                </c:pt>
                <c:pt idx="1">
                  <c:v>Jun-06</c:v>
                </c:pt>
                <c:pt idx="2">
                  <c:v>Dec-06</c:v>
                </c:pt>
                <c:pt idx="3">
                  <c:v>Dec-08</c:v>
                </c:pt>
                <c:pt idx="4">
                  <c:v>Jun-09</c:v>
                </c:pt>
                <c:pt idx="5">
                  <c:v>Dec-09</c:v>
                </c:pt>
                <c:pt idx="6">
                  <c:v>Dec-10</c:v>
                </c:pt>
                <c:pt idx="7">
                  <c:v>Jun-11</c:v>
                </c:pt>
                <c:pt idx="8">
                  <c:v>Dec-11</c:v>
                </c:pt>
                <c:pt idx="9">
                  <c:v>Jun-12</c:v>
                </c:pt>
                <c:pt idx="10">
                  <c:v>Dec-12</c:v>
                </c:pt>
                <c:pt idx="11">
                  <c:v>Jun-13</c:v>
                </c:pt>
                <c:pt idx="12">
                  <c:v>Dec-13</c:v>
                </c:pt>
                <c:pt idx="13">
                  <c:v>Jun-14</c:v>
                </c:pt>
                <c:pt idx="14">
                  <c:v>Jul-14</c:v>
                </c:pt>
                <c:pt idx="15">
                  <c:v>Aug-14</c:v>
                </c:pt>
                <c:pt idx="16">
                  <c:v>Nov-14</c:v>
                </c:pt>
                <c:pt idx="17">
                  <c:v>Dec-14</c:v>
                </c:pt>
                <c:pt idx="18">
                  <c:v>Jan-15</c:v>
                </c:pt>
                <c:pt idx="19">
                  <c:v>Feb-15</c:v>
                </c:pt>
                <c:pt idx="20">
                  <c:v>Mar-15</c:v>
                </c:pt>
                <c:pt idx="21">
                  <c:v>Abr-15</c:v>
                </c:pt>
                <c:pt idx="22">
                  <c:v>Jun-15</c:v>
                </c:pt>
              </c:strCache>
            </c:strRef>
          </c:cat>
          <c:val>
            <c:numRef>
              <c:extLst>
                <c:ext xmlns:c15="http://schemas.microsoft.com/office/drawing/2012/chart" uri="{02D57815-91ED-43cb-92C2-25804820EDAC}">
                  <c15:fullRef>
                    <c15:sqref>'IV.3.8. Rent. nom. de los FP'!$B$7:$B$63</c15:sqref>
                  </c15:fullRef>
                </c:ext>
              </c:extLst>
              <c:f>('IV.3.8. Rent. nom. de los FP'!$B$7:$B$60,'IV.3.8. Rent. nom. de los FP'!$B$62:$B$63)</c:f>
              <c:numCache>
                <c:formatCode>0.00%</c:formatCode>
                <c:ptCount val="24"/>
                <c:pt idx="0">
                  <c:v>0.1709</c:v>
                </c:pt>
                <c:pt idx="1">
                  <c:v>0.13300000000000001</c:v>
                </c:pt>
                <c:pt idx="2">
                  <c:v>0.1147</c:v>
                </c:pt>
                <c:pt idx="3">
                  <c:v>0.1208</c:v>
                </c:pt>
                <c:pt idx="4">
                  <c:v>0.15529999999999999</c:v>
                </c:pt>
                <c:pt idx="5">
                  <c:v>0.1404</c:v>
                </c:pt>
                <c:pt idx="6">
                  <c:v>0.108409960162953</c:v>
                </c:pt>
                <c:pt idx="7">
                  <c:v>0.113957126516463</c:v>
                </c:pt>
                <c:pt idx="8">
                  <c:v>0.12479999999999999</c:v>
                </c:pt>
                <c:pt idx="9">
                  <c:v>0.13100000000000001</c:v>
                </c:pt>
                <c:pt idx="10">
                  <c:v>0.14269999999999999</c:v>
                </c:pt>
                <c:pt idx="11">
                  <c:v>0.15329999999999999</c:v>
                </c:pt>
                <c:pt idx="12">
                  <c:v>0.132289709655253</c:v>
                </c:pt>
                <c:pt idx="13">
                  <c:v>0.116663916655663</c:v>
                </c:pt>
                <c:pt idx="14">
                  <c:v>0.116796791263615</c:v>
                </c:pt>
                <c:pt idx="15">
                  <c:v>0.1173</c:v>
                </c:pt>
                <c:pt idx="16">
                  <c:v>0.1196</c:v>
                </c:pt>
                <c:pt idx="17">
                  <c:v>0.1202</c:v>
                </c:pt>
                <c:pt idx="18">
                  <c:v>0.12089999999999999</c:v>
                </c:pt>
                <c:pt idx="19">
                  <c:v>0.1201</c:v>
                </c:pt>
                <c:pt idx="20">
                  <c:v>0.1229</c:v>
                </c:pt>
                <c:pt idx="21">
                  <c:v>0.123365719687781</c:v>
                </c:pt>
                <c:pt idx="22">
                  <c:v>0.11990000000000001</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 Rent. nom. de los FP'!$A$7:$A$62</c15:sqref>
                  </c15:fullRef>
                </c:ext>
              </c:extLst>
              <c:f>('IV.3.8. Rent. nom. de los FP'!$A$7:$A$60,'IV.3.8. Rent. nom. de los FP'!$A$62)</c:f>
              <c:strCache>
                <c:ptCount val="23"/>
                <c:pt idx="0">
                  <c:v>Dec-05</c:v>
                </c:pt>
                <c:pt idx="1">
                  <c:v>Jun-06</c:v>
                </c:pt>
                <c:pt idx="2">
                  <c:v>Dec-06</c:v>
                </c:pt>
                <c:pt idx="3">
                  <c:v>Dec-08</c:v>
                </c:pt>
                <c:pt idx="4">
                  <c:v>Jun-09</c:v>
                </c:pt>
                <c:pt idx="5">
                  <c:v>Dec-09</c:v>
                </c:pt>
                <c:pt idx="6">
                  <c:v>Dec-10</c:v>
                </c:pt>
                <c:pt idx="7">
                  <c:v>Jun-11</c:v>
                </c:pt>
                <c:pt idx="8">
                  <c:v>Dec-11</c:v>
                </c:pt>
                <c:pt idx="9">
                  <c:v>Jun-12</c:v>
                </c:pt>
                <c:pt idx="10">
                  <c:v>Dec-12</c:v>
                </c:pt>
                <c:pt idx="11">
                  <c:v>Jun-13</c:v>
                </c:pt>
                <c:pt idx="12">
                  <c:v>Dec-13</c:v>
                </c:pt>
                <c:pt idx="13">
                  <c:v>Jun-14</c:v>
                </c:pt>
                <c:pt idx="14">
                  <c:v>Jul-14</c:v>
                </c:pt>
                <c:pt idx="15">
                  <c:v>Aug-14</c:v>
                </c:pt>
                <c:pt idx="16">
                  <c:v>Nov-14</c:v>
                </c:pt>
                <c:pt idx="17">
                  <c:v>Dec-14</c:v>
                </c:pt>
                <c:pt idx="18">
                  <c:v>Jan-15</c:v>
                </c:pt>
                <c:pt idx="19">
                  <c:v>Feb-15</c:v>
                </c:pt>
                <c:pt idx="20">
                  <c:v>Mar-15</c:v>
                </c:pt>
                <c:pt idx="21">
                  <c:v>Abr-15</c:v>
                </c:pt>
                <c:pt idx="22">
                  <c:v>Jun-15</c:v>
                </c:pt>
              </c:strCache>
            </c:strRef>
          </c:cat>
          <c:val>
            <c:numRef>
              <c:extLst>
                <c:ext xmlns:c15="http://schemas.microsoft.com/office/drawing/2012/chart" uri="{02D57815-91ED-43cb-92C2-25804820EDAC}">
                  <c15:fullRef>
                    <c15:sqref>'IV.3.8. Rent. nom. de los FP'!$C$7:$C$62</c15:sqref>
                  </c15:fullRef>
                </c:ext>
              </c:extLst>
              <c:f>('IV.3.8. Rent. nom. de los FP'!$C$7:$C$60,'IV.3.8. Rent. nom. de los FP'!$C$62)</c:f>
              <c:numCache>
                <c:formatCode>0.00%</c:formatCode>
                <c:ptCount val="23"/>
                <c:pt idx="0">
                  <c:v>0.1696</c:v>
                </c:pt>
                <c:pt idx="1">
                  <c:v>0.13469999999999999</c:v>
                </c:pt>
                <c:pt idx="2">
                  <c:v>0.1148</c:v>
                </c:pt>
                <c:pt idx="3">
                  <c:v>0.13009999999999999</c:v>
                </c:pt>
                <c:pt idx="4">
                  <c:v>0.161</c:v>
                </c:pt>
                <c:pt idx="5">
                  <c:v>0.14330000000000001</c:v>
                </c:pt>
                <c:pt idx="6">
                  <c:v>0.11057333531076501</c:v>
                </c:pt>
                <c:pt idx="7">
                  <c:v>0.115288967128472</c:v>
                </c:pt>
                <c:pt idx="8">
                  <c:v>0.12659999999999999</c:v>
                </c:pt>
                <c:pt idx="9">
                  <c:v>0.1343</c:v>
                </c:pt>
                <c:pt idx="10">
                  <c:v>0.1454</c:v>
                </c:pt>
                <c:pt idx="11">
                  <c:v>0.15759999999999999</c:v>
                </c:pt>
                <c:pt idx="12">
                  <c:v>0.133732017269869</c:v>
                </c:pt>
                <c:pt idx="13">
                  <c:v>0.117645839774349</c:v>
                </c:pt>
                <c:pt idx="14">
                  <c:v>0.118568283938031</c:v>
                </c:pt>
                <c:pt idx="15">
                  <c:v>0.1198</c:v>
                </c:pt>
                <c:pt idx="16">
                  <c:v>0.12239999999999999</c:v>
                </c:pt>
                <c:pt idx="17">
                  <c:v>0.12479999999999999</c:v>
                </c:pt>
                <c:pt idx="18">
                  <c:v>0.125</c:v>
                </c:pt>
                <c:pt idx="19">
                  <c:v>0.1242</c:v>
                </c:pt>
                <c:pt idx="20">
                  <c:v>0.12720000000000001</c:v>
                </c:pt>
                <c:pt idx="21">
                  <c:v>0.12739122285896601</c:v>
                </c:pt>
                <c:pt idx="22">
                  <c:v>0.12379999999999999</c:v>
                </c:pt>
              </c:numCache>
            </c:numRef>
          </c:val>
          <c:smooth val="0"/>
        </c:ser>
        <c:dLbls>
          <c:showLegendKey val="0"/>
          <c:showVal val="0"/>
          <c:showCatName val="0"/>
          <c:showSerName val="0"/>
          <c:showPercent val="0"/>
          <c:showBubbleSize val="0"/>
        </c:dLbls>
        <c:marker val="1"/>
        <c:smooth val="0"/>
        <c:axId val="301975320"/>
        <c:axId val="301975712"/>
      </c:lineChart>
      <c:catAx>
        <c:axId val="301975320"/>
        <c:scaling>
          <c:orientation val="minMax"/>
        </c:scaling>
        <c:delete val="0"/>
        <c:axPos val="b"/>
        <c:numFmt formatCode="General" sourceLinked="1"/>
        <c:majorTickMark val="none"/>
        <c:minorTickMark val="none"/>
        <c:tickLblPos val="nextTo"/>
        <c:txPr>
          <a:bodyPr rot="-2700000" vert="horz"/>
          <a:lstStyle/>
          <a:p>
            <a:pPr>
              <a:defRPr lang="en-US" sz="1600"/>
            </a:pPr>
            <a:endParaRPr lang="es-ES"/>
          </a:p>
        </c:txPr>
        <c:crossAx val="301975712"/>
        <c:crosses val="autoZero"/>
        <c:auto val="0"/>
        <c:lblAlgn val="ctr"/>
        <c:lblOffset val="100"/>
        <c:noMultiLvlLbl val="0"/>
      </c:catAx>
      <c:valAx>
        <c:axId val="301975712"/>
        <c:scaling>
          <c:orientation val="minMax"/>
        </c:scaling>
        <c:delete val="1"/>
        <c:axPos val="l"/>
        <c:numFmt formatCode="0.00%" sourceLinked="1"/>
        <c:majorTickMark val="out"/>
        <c:minorTickMark val="none"/>
        <c:tickLblPos val="nextTo"/>
        <c:crossAx val="301975320"/>
        <c:crosses val="autoZero"/>
        <c:crossBetween val="between"/>
      </c:valAx>
    </c:plotArea>
    <c:legend>
      <c:legendPos val="b"/>
      <c:layout>
        <c:manualLayout>
          <c:xMode val="edge"/>
          <c:yMode val="edge"/>
          <c:x val="0.20835938293435474"/>
          <c:y val="0.11158943443290446"/>
          <c:w val="0.60357750153025747"/>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2783956692913385"/>
          <c:y val="1.074561384953699E-2"/>
        </c:manualLayout>
      </c:layout>
      <c:overlay val="1"/>
    </c:title>
    <c:autoTitleDeleted val="0"/>
    <c:plotArea>
      <c:layout>
        <c:manualLayout>
          <c:layoutTarget val="inner"/>
          <c:xMode val="edge"/>
          <c:yMode val="edge"/>
          <c:x val="5.8636592269196451E-2"/>
          <c:y val="0.17294575954990746"/>
          <c:w val="0.8783894817465262"/>
          <c:h val="0.72468045094832767"/>
        </c:manualLayout>
      </c:layout>
      <c:lineChart>
        <c:grouping val="standard"/>
        <c:varyColors val="0"/>
        <c:ser>
          <c:idx val="1"/>
          <c:order val="0"/>
          <c:tx>
            <c:strRef>
              <c:f>'IV.3.9.Rentab.Real'!$B$4</c:f>
              <c:strCache>
                <c:ptCount val="1"/>
                <c:pt idx="0">
                  <c:v>Rentabilidad Nominal</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42170</c:v>
                </c:pt>
              </c:numCache>
            </c:numRef>
          </c:cat>
          <c:val>
            <c:numRef>
              <c:f>'IV.3.9.Rentab.Real'!$B$5:$B$17</c:f>
              <c:numCache>
                <c:formatCode>0.00%</c:formatCode>
                <c:ptCount val="13"/>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0.14269999999999999</c:v>
                </c:pt>
                <c:pt idx="10">
                  <c:v>0.132289709655253</c:v>
                </c:pt>
                <c:pt idx="11">
                  <c:v>0.1202</c:v>
                </c:pt>
                <c:pt idx="12">
                  <c:v>0.11990000000000001</c:v>
                </c:pt>
              </c:numCache>
            </c:numRef>
          </c:val>
          <c:smooth val="0"/>
        </c:ser>
        <c:ser>
          <c:idx val="2"/>
          <c:order val="1"/>
          <c:tx>
            <c:strRef>
              <c:f>'IV.3.9.Rentab.Real'!$D$4</c:f>
              <c:strCache>
                <c:ptCount val="1"/>
                <c:pt idx="0">
                  <c:v>Rentabilidad Real</c:v>
                </c:pt>
              </c:strCache>
            </c:strRef>
          </c:tx>
          <c:dLbls>
            <c:dLbl>
              <c:idx val="0"/>
              <c:layout>
                <c:manualLayout>
                  <c:x val="-2.7203790927764725E-2"/>
                  <c:y val="-2.249447398648862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6540283369769626E-2"/>
                  <c:y val="3.123359838250756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42170</c:v>
                </c:pt>
              </c:numCache>
            </c:numRef>
          </c:cat>
          <c:val>
            <c:numRef>
              <c:f>'IV.3.9.Rentab.Real'!$D$5:$D$17</c:f>
              <c:numCache>
                <c:formatCode>0.00%</c:formatCode>
                <c:ptCount val="13"/>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0.1036</c:v>
                </c:pt>
                <c:pt idx="10">
                  <c:v>9.3489709655252995E-2</c:v>
                </c:pt>
                <c:pt idx="11">
                  <c:v>0.10439999999999999</c:v>
                </c:pt>
                <c:pt idx="12">
                  <c:v>0.11370000000000001</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4.0916270907613621E-2"/>
                  <c:y val="1.9865485221275639E-2"/>
                </c:manualLayout>
              </c:layout>
              <c:showLegendKey val="0"/>
              <c:showVal val="1"/>
              <c:showCatName val="0"/>
              <c:showSerName val="0"/>
              <c:showPercent val="0"/>
              <c:showBubbleSize val="0"/>
              <c:extLst>
                <c:ext xmlns:c15="http://schemas.microsoft.com/office/drawing/2012/chart" uri="{CE6537A1-D6FC-4f65-9D91-7224C49458BB}">
                  <c15:layout>
                    <c:manualLayout>
                      <c:w val="4.0527013411411461E-2"/>
                      <c:h val="2.6910087254626205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42170</c:v>
                </c:pt>
              </c:numCache>
            </c:numRef>
          </c:cat>
          <c:val>
            <c:numRef>
              <c:f>'IV.3.9.Rentab.Real'!$C$5:$C$17</c:f>
              <c:numCache>
                <c:formatCode>0.00%</c:formatCode>
                <c:ptCount val="13"/>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6.1999999999999998E-3</c:v>
                </c:pt>
              </c:numCache>
            </c:numRef>
          </c:val>
          <c:smooth val="0"/>
        </c:ser>
        <c:dLbls>
          <c:showLegendKey val="0"/>
          <c:showVal val="0"/>
          <c:showCatName val="0"/>
          <c:showSerName val="0"/>
          <c:showPercent val="0"/>
          <c:showBubbleSize val="0"/>
        </c:dLbls>
        <c:marker val="1"/>
        <c:smooth val="0"/>
        <c:axId val="301976104"/>
        <c:axId val="301961208"/>
      </c:lineChart>
      <c:catAx>
        <c:axId val="301976104"/>
        <c:scaling>
          <c:orientation val="minMax"/>
        </c:scaling>
        <c:delete val="0"/>
        <c:axPos val="b"/>
        <c:numFmt formatCode="mmm\-yy" sourceLinked="1"/>
        <c:majorTickMark val="none"/>
        <c:minorTickMark val="none"/>
        <c:tickLblPos val="nextTo"/>
        <c:txPr>
          <a:bodyPr/>
          <a:lstStyle/>
          <a:p>
            <a:pPr>
              <a:defRPr lang="en-US" sz="1400"/>
            </a:pPr>
            <a:endParaRPr lang="es-ES"/>
          </a:p>
        </c:txPr>
        <c:crossAx val="301961208"/>
        <c:crosses val="autoZero"/>
        <c:auto val="0"/>
        <c:lblAlgn val="ctr"/>
        <c:lblOffset val="100"/>
        <c:noMultiLvlLbl val="0"/>
      </c:catAx>
      <c:valAx>
        <c:axId val="301961208"/>
        <c:scaling>
          <c:orientation val="minMax"/>
        </c:scaling>
        <c:delete val="1"/>
        <c:axPos val="l"/>
        <c:numFmt formatCode="0.00%" sourceLinked="1"/>
        <c:majorTickMark val="out"/>
        <c:minorTickMark val="none"/>
        <c:tickLblPos val="nextTo"/>
        <c:crossAx val="3019761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8608730067650077E-2"/>
          <c:y val="0.2168245555112214"/>
          <c:w val="0.87046738583497385"/>
          <c:h val="0.6512229361435066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Ene-Jun.15</c:v>
                </c:pt>
              </c:strCache>
            </c:strRef>
          </c:cat>
          <c:val>
            <c:numRef>
              <c:f>'IV.4.2.Pagos ARL A'!$B$5:$B$15</c:f>
              <c:numCache>
                <c:formatCode>_(* #,##0.00_);_(* \(#,##0.00\);_(* "-"??_);_(@_)</c:formatCode>
                <c:ptCount val="11"/>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1620984687.76</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Ene-Jun.15</c:v>
                </c:pt>
              </c:strCache>
            </c:strRef>
          </c:cat>
          <c:val>
            <c:numRef>
              <c:f>'IV.4.2.Pagos ARL A'!$D$5:$D$15</c:f>
              <c:numCache>
                <c:formatCode>_(* #,##0.00_);_(* \(#,##0.00\);_(* "-"??_);_(@_)</c:formatCode>
                <c:ptCount val="11"/>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70251718.689999998</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4.6713571506339802E-3"/>
                  <c:y val="-1.4069577198126789E-2"/>
                </c:manualLayout>
              </c:layout>
              <c:spPr/>
              <c:txPr>
                <a:bodyPr rot="-5400000" vert="horz"/>
                <a:lstStyle/>
                <a:p>
                  <a:pPr>
                    <a:defRPr lang="en-US" sz="1400" b="1">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Ene-Jun.15</c:v>
                </c:pt>
              </c:strCache>
            </c:strRef>
          </c:cat>
          <c:val>
            <c:numRef>
              <c:f>'IV.4.2.Pagos ARL A'!$F$5:$F$15</c:f>
              <c:numCache>
                <c:formatCode>_(* #,##0.00_);_(* \(#,##0.00\);_(* "-"??_);_(@_)</c:formatCode>
                <c:ptCount val="11"/>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8827669.9299999997</c:v>
                </c:pt>
              </c:numCache>
            </c:numRef>
          </c:val>
        </c:ser>
        <c:dLbls>
          <c:showLegendKey val="0"/>
          <c:showVal val="0"/>
          <c:showCatName val="0"/>
          <c:showSerName val="0"/>
          <c:showPercent val="0"/>
          <c:showBubbleSize val="0"/>
        </c:dLbls>
        <c:gapWidth val="75"/>
        <c:shape val="cylinder"/>
        <c:axId val="301965128"/>
        <c:axId val="280269552"/>
        <c:axId val="0"/>
      </c:bar3DChart>
      <c:catAx>
        <c:axId val="301965128"/>
        <c:scaling>
          <c:orientation val="minMax"/>
        </c:scaling>
        <c:delete val="0"/>
        <c:axPos val="b"/>
        <c:numFmt formatCode="General" sourceLinked="1"/>
        <c:majorTickMark val="none"/>
        <c:minorTickMark val="none"/>
        <c:tickLblPos val="nextTo"/>
        <c:txPr>
          <a:bodyPr/>
          <a:lstStyle/>
          <a:p>
            <a:pPr>
              <a:defRPr lang="en-US" sz="1200"/>
            </a:pPr>
            <a:endParaRPr lang="es-ES"/>
          </a:p>
        </c:txPr>
        <c:crossAx val="280269552"/>
        <c:crosses val="autoZero"/>
        <c:auto val="1"/>
        <c:lblAlgn val="ctr"/>
        <c:lblOffset val="100"/>
        <c:noMultiLvlLbl val="0"/>
      </c:catAx>
      <c:valAx>
        <c:axId val="28026955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301965128"/>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6185914129420867"/>
          <c:y val="0.12674971902389631"/>
          <c:w val="0.46757489620023718"/>
          <c:h val="4.7638812904350326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98689571250269"/>
          <c:y val="7.7448736965591014E-3"/>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3144972477779452E-2"/>
          <c:y val="0.25668659353231521"/>
          <c:w val="0.88107052299599298"/>
          <c:h val="0.59196091904319348"/>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'IV.4.3.Pagos_ARL M'!$B$5:$B$17</c:f>
              <c:numCache>
                <c:formatCode>_(* #,##0.00_);_(* \(#,##0.00\);_(* "-"??_);_(@_)</c:formatCode>
                <c:ptCount val="13"/>
                <c:pt idx="0">
                  <c:v>248201728.63</c:v>
                </c:pt>
                <c:pt idx="1">
                  <c:v>261292751.96000001</c:v>
                </c:pt>
                <c:pt idx="2">
                  <c:v>245391197.81999999</c:v>
                </c:pt>
                <c:pt idx="3">
                  <c:v>261220667.27000001</c:v>
                </c:pt>
                <c:pt idx="4">
                  <c:v>258895516.99000001</c:v>
                </c:pt>
                <c:pt idx="5">
                  <c:v>260633723.61000001</c:v>
                </c:pt>
                <c:pt idx="6">
                  <c:v>260482080.38999999</c:v>
                </c:pt>
                <c:pt idx="7">
                  <c:v>267983569.22999999</c:v>
                </c:pt>
                <c:pt idx="8">
                  <c:v>265285189.87</c:v>
                </c:pt>
                <c:pt idx="9">
                  <c:v>264604418.80000001</c:v>
                </c:pt>
                <c:pt idx="10">
                  <c:v>189992092.56999999</c:v>
                </c:pt>
                <c:pt idx="11">
                  <c:v>353354533.29000002</c:v>
                </c:pt>
                <c:pt idx="12">
                  <c:v>279764884</c:v>
                </c:pt>
              </c:numCache>
            </c:numRef>
          </c:val>
        </c:ser>
        <c:ser>
          <c:idx val="1"/>
          <c:order val="1"/>
          <c:tx>
            <c:strRef>
              <c:f>'IV.4.3.Pagos_ARL M'!$D$4</c:f>
              <c:strCache>
                <c:ptCount val="1"/>
                <c:pt idx="0">
                  <c:v>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'IV.4.3.Pagos_ARL M'!$D$5:$D$17</c:f>
              <c:numCache>
                <c:formatCode>_(* #,##0.00_);_(* \(#,##0.00\);_(* "-"??_);_(@_)</c:formatCode>
                <c:ptCount val="13"/>
                <c:pt idx="0">
                  <c:v>11065464.439999999</c:v>
                </c:pt>
                <c:pt idx="1">
                  <c:v>11037504.050000001</c:v>
                </c:pt>
                <c:pt idx="2">
                  <c:v>10992035.460000001</c:v>
                </c:pt>
                <c:pt idx="3">
                  <c:v>11145078.220000001</c:v>
                </c:pt>
                <c:pt idx="4">
                  <c:v>11376463.4</c:v>
                </c:pt>
                <c:pt idx="5">
                  <c:v>11231487.220000001</c:v>
                </c:pt>
                <c:pt idx="6">
                  <c:v>11805929.15</c:v>
                </c:pt>
                <c:pt idx="7">
                  <c:v>11225916.75</c:v>
                </c:pt>
                <c:pt idx="8">
                  <c:v>11348212.01</c:v>
                </c:pt>
                <c:pt idx="9">
                  <c:v>11956968.699999999</c:v>
                </c:pt>
                <c:pt idx="10">
                  <c:v>11741328.210000001</c:v>
                </c:pt>
                <c:pt idx="11">
                  <c:v>11875285.16</c:v>
                </c:pt>
                <c:pt idx="12">
                  <c:v>12104007.859999999</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Jun.14</c:v>
                </c:pt>
                <c:pt idx="1">
                  <c:v>Jul.14</c:v>
                </c:pt>
                <c:pt idx="2">
                  <c:v>Ago.14</c:v>
                </c:pt>
                <c:pt idx="3">
                  <c:v>Sep.14</c:v>
                </c:pt>
                <c:pt idx="4">
                  <c:v>Oct.14</c:v>
                </c:pt>
                <c:pt idx="5">
                  <c:v>Nov.14</c:v>
                </c:pt>
                <c:pt idx="6">
                  <c:v>Dic.14</c:v>
                </c:pt>
                <c:pt idx="7">
                  <c:v>Ene.15</c:v>
                </c:pt>
                <c:pt idx="8">
                  <c:v>Feb.15</c:v>
                </c:pt>
                <c:pt idx="9">
                  <c:v>Mar.15</c:v>
                </c:pt>
                <c:pt idx="10">
                  <c:v>Abr.15</c:v>
                </c:pt>
                <c:pt idx="11">
                  <c:v>May.15</c:v>
                </c:pt>
                <c:pt idx="12">
                  <c:v>Jun.15</c:v>
                </c:pt>
              </c:strCache>
            </c:strRef>
          </c:cat>
          <c:val>
            <c:numRef>
              <c:f>'IV.4.3.Pagos_ARL M'!$F$5:$F$17</c:f>
              <c:numCache>
                <c:formatCode>_(* #,##0.00_);_(* \(#,##0.00\);_(* "-"??_);_(@_)</c:formatCode>
                <c:ptCount val="13"/>
                <c:pt idx="0">
                  <c:v>1918393.14</c:v>
                </c:pt>
                <c:pt idx="1">
                  <c:v>2834010.08</c:v>
                </c:pt>
                <c:pt idx="2">
                  <c:v>1279675.43</c:v>
                </c:pt>
                <c:pt idx="3">
                  <c:v>2278124.62</c:v>
                </c:pt>
                <c:pt idx="4">
                  <c:v>1920347.88</c:v>
                </c:pt>
                <c:pt idx="5">
                  <c:v>1417224.83</c:v>
                </c:pt>
                <c:pt idx="6">
                  <c:v>1311902.99</c:v>
                </c:pt>
                <c:pt idx="7">
                  <c:v>1546249.03</c:v>
                </c:pt>
                <c:pt idx="8">
                  <c:v>1871415.64</c:v>
                </c:pt>
                <c:pt idx="9">
                  <c:v>1125265.98</c:v>
                </c:pt>
                <c:pt idx="10">
                  <c:v>1231109.1000000001</c:v>
                </c:pt>
                <c:pt idx="11">
                  <c:v>1561164.03</c:v>
                </c:pt>
                <c:pt idx="12">
                  <c:v>1492466.15</c:v>
                </c:pt>
              </c:numCache>
            </c:numRef>
          </c:val>
        </c:ser>
        <c:dLbls>
          <c:showLegendKey val="0"/>
          <c:showVal val="0"/>
          <c:showCatName val="0"/>
          <c:showSerName val="0"/>
          <c:showPercent val="0"/>
          <c:showBubbleSize val="0"/>
        </c:dLbls>
        <c:gapWidth val="75"/>
        <c:shape val="cylinder"/>
        <c:axId val="280272688"/>
        <c:axId val="280273080"/>
        <c:axId val="0"/>
      </c:bar3DChart>
      <c:catAx>
        <c:axId val="280272688"/>
        <c:scaling>
          <c:orientation val="minMax"/>
        </c:scaling>
        <c:delete val="0"/>
        <c:axPos val="b"/>
        <c:numFmt formatCode="mmm\-yy" sourceLinked="0"/>
        <c:majorTickMark val="none"/>
        <c:minorTickMark val="none"/>
        <c:tickLblPos val="nextTo"/>
        <c:txPr>
          <a:bodyPr/>
          <a:lstStyle/>
          <a:p>
            <a:pPr>
              <a:defRPr lang="en-US" sz="1200"/>
            </a:pPr>
            <a:endParaRPr lang="es-ES"/>
          </a:p>
        </c:txPr>
        <c:crossAx val="280273080"/>
        <c:crosses val="autoZero"/>
        <c:auto val="1"/>
        <c:lblAlgn val="ctr"/>
        <c:lblOffset val="100"/>
        <c:noMultiLvlLbl val="1"/>
      </c:catAx>
      <c:valAx>
        <c:axId val="280273080"/>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280272688"/>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s-DO" sz="1800" b="1">
                <a:effectLst/>
              </a:rPr>
              <a:t>Cantidad de Cápitas</a:t>
            </a:r>
            <a:r>
              <a:rPr lang="es-DO" sz="1800" b="1" baseline="0">
                <a:effectLst/>
              </a:rPr>
              <a:t> Pagadas por </a:t>
            </a:r>
            <a:r>
              <a:rPr lang="es-DO" sz="1800" b="1">
                <a:effectLst/>
              </a:rPr>
              <a:t>Niños</a:t>
            </a:r>
            <a:r>
              <a:rPr lang="es-DO" sz="1800" b="1" baseline="0">
                <a:effectLst/>
              </a:rPr>
              <a:t> Afiliados en las </a:t>
            </a:r>
            <a:r>
              <a:rPr lang="es-DO" sz="1800" b="1">
                <a:effectLst/>
              </a:rPr>
              <a:t>Estancias</a:t>
            </a:r>
            <a:r>
              <a:rPr lang="es-DO" sz="1800" b="1" baseline="0">
                <a:effectLst/>
              </a:rPr>
              <a:t> Infantiles (EI) del RC</a:t>
            </a:r>
            <a:endParaRPr lang="es-ES" sz="2800">
              <a:effectLst/>
            </a:endParaRPr>
          </a:p>
        </c:rich>
      </c:tx>
      <c:layout>
        <c:manualLayout>
          <c:xMode val="edge"/>
          <c:yMode val="edge"/>
          <c:x val="0.30651378885491737"/>
          <c:y val="4.3076782520087481E-2"/>
        </c:manualLayout>
      </c:layout>
      <c:overlay val="0"/>
    </c:title>
    <c:autoTitleDeleted val="0"/>
    <c:plotArea>
      <c:layout>
        <c:manualLayout>
          <c:layoutTarget val="inner"/>
          <c:xMode val="edge"/>
          <c:yMode val="edge"/>
          <c:x val="4.3979047071151654E-2"/>
          <c:y val="0.17478371971591283"/>
          <c:w val="0.92311121435781818"/>
          <c:h val="0.66939668735708324"/>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'V.1.3.Afil.EI'!$A$4:$A$15</c:f>
              <c:strCache>
                <c:ptCount val="12"/>
                <c:pt idx="0">
                  <c:v>May. 09</c:v>
                </c:pt>
                <c:pt idx="1">
                  <c:v>Dic.09</c:v>
                </c:pt>
                <c:pt idx="2">
                  <c:v>May.10 </c:v>
                </c:pt>
                <c:pt idx="3">
                  <c:v>Dic.10</c:v>
                </c:pt>
                <c:pt idx="4">
                  <c:v>May.11</c:v>
                </c:pt>
                <c:pt idx="5">
                  <c:v>Dic.11</c:v>
                </c:pt>
                <c:pt idx="6">
                  <c:v>May.12</c:v>
                </c:pt>
                <c:pt idx="7">
                  <c:v>Dic.12</c:v>
                </c:pt>
                <c:pt idx="8">
                  <c:v>May.13</c:v>
                </c:pt>
                <c:pt idx="9">
                  <c:v>Dic.13</c:v>
                </c:pt>
                <c:pt idx="10">
                  <c:v>Dic.14</c:v>
                </c:pt>
                <c:pt idx="11">
                  <c:v>Jun.15</c:v>
                </c:pt>
              </c:strCache>
            </c:strRef>
          </c:cat>
          <c:val>
            <c:numRef>
              <c:f>'V.1.3.Afil.EI'!$B$4:$B$15</c:f>
              <c:numCache>
                <c:formatCode>#,##0</c:formatCode>
                <c:ptCount val="12"/>
                <c:pt idx="0">
                  <c:v>601</c:v>
                </c:pt>
                <c:pt idx="1">
                  <c:v>1814</c:v>
                </c:pt>
                <c:pt idx="2">
                  <c:v>2399</c:v>
                </c:pt>
                <c:pt idx="3">
                  <c:v>4254</c:v>
                </c:pt>
                <c:pt idx="4">
                  <c:v>4267</c:v>
                </c:pt>
                <c:pt idx="5">
                  <c:v>5208</c:v>
                </c:pt>
                <c:pt idx="6">
                  <c:v>4988</c:v>
                </c:pt>
                <c:pt idx="7">
                  <c:v>5894</c:v>
                </c:pt>
                <c:pt idx="8">
                  <c:v>5527</c:v>
                </c:pt>
                <c:pt idx="9">
                  <c:v>6648</c:v>
                </c:pt>
                <c:pt idx="10">
                  <c:v>7374</c:v>
                </c:pt>
                <c:pt idx="11">
                  <c:v>5590</c:v>
                </c:pt>
              </c:numCache>
            </c:numRef>
          </c:val>
        </c:ser>
        <c:dLbls>
          <c:showLegendKey val="0"/>
          <c:showVal val="0"/>
          <c:showCatName val="0"/>
          <c:showSerName val="0"/>
          <c:showPercent val="0"/>
          <c:showBubbleSize val="0"/>
        </c:dLbls>
        <c:gapWidth val="51"/>
        <c:overlap val="87"/>
        <c:axId val="280271512"/>
        <c:axId val="280271120"/>
      </c:barChart>
      <c:catAx>
        <c:axId val="280271512"/>
        <c:scaling>
          <c:orientation val="minMax"/>
        </c:scaling>
        <c:delete val="0"/>
        <c:axPos val="b"/>
        <c:numFmt formatCode="General" sourceLinked="1"/>
        <c:majorTickMark val="out"/>
        <c:minorTickMark val="none"/>
        <c:tickLblPos val="nextTo"/>
        <c:txPr>
          <a:bodyPr/>
          <a:lstStyle/>
          <a:p>
            <a:pPr>
              <a:defRPr sz="2400"/>
            </a:pPr>
            <a:endParaRPr lang="es-ES"/>
          </a:p>
        </c:txPr>
        <c:crossAx val="280271120"/>
        <c:crosses val="autoZero"/>
        <c:auto val="1"/>
        <c:lblAlgn val="ctr"/>
        <c:lblOffset val="100"/>
        <c:noMultiLvlLbl val="0"/>
      </c:catAx>
      <c:valAx>
        <c:axId val="280271120"/>
        <c:scaling>
          <c:orientation val="minMax"/>
        </c:scaling>
        <c:delete val="0"/>
        <c:axPos val="l"/>
        <c:numFmt formatCode="#,##0" sourceLinked="1"/>
        <c:majorTickMark val="out"/>
        <c:minorTickMark val="none"/>
        <c:tickLblPos val="nextTo"/>
        <c:crossAx val="28027151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40133136174680695"/>
          <c:y val="4.2255018691824311E-2"/>
        </c:manualLayout>
      </c:layout>
      <c:overlay val="1"/>
    </c:title>
    <c:autoTitleDeleted val="0"/>
    <c:view3D>
      <c:rotX val="20"/>
      <c:rotY val="20"/>
      <c:rAngAx val="1"/>
    </c:view3D>
    <c:floor>
      <c:thickness val="0"/>
    </c:floor>
    <c:sideWall>
      <c:thickness val="0"/>
    </c:sideWall>
    <c:backWall>
      <c:thickness val="0"/>
    </c:backWall>
    <c:plotArea>
      <c:layout>
        <c:manualLayout>
          <c:layoutTarget val="inner"/>
          <c:xMode val="edge"/>
          <c:yMode val="edge"/>
          <c:x val="9.255662657658191E-2"/>
          <c:y val="0.15382232755632941"/>
          <c:w val="0.88940283528531683"/>
          <c:h val="0.63880633720242486"/>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'V.1.4.Afil.EI'!$A$4:$A$10</c:f>
              <c:strCache>
                <c:ptCount val="7"/>
                <c:pt idx="0">
                  <c:v>2009</c:v>
                </c:pt>
                <c:pt idx="1">
                  <c:v>2010</c:v>
                </c:pt>
                <c:pt idx="2">
                  <c:v>2011</c:v>
                </c:pt>
                <c:pt idx="3">
                  <c:v>2012</c:v>
                </c:pt>
                <c:pt idx="4">
                  <c:v>2013</c:v>
                </c:pt>
                <c:pt idx="5">
                  <c:v>2014</c:v>
                </c:pt>
                <c:pt idx="6">
                  <c:v>Ene-Jun.2015</c:v>
                </c:pt>
              </c:strCache>
            </c:strRef>
          </c:cat>
          <c:val>
            <c:numRef>
              <c:f>'V.1.4.Afil.EI'!$D$4:$D$10</c:f>
              <c:numCache>
                <c:formatCode>#,##0.0</c:formatCode>
                <c:ptCount val="7"/>
                <c:pt idx="0">
                  <c:v>16656000</c:v>
                </c:pt>
                <c:pt idx="1">
                  <c:v>68030000</c:v>
                </c:pt>
                <c:pt idx="2">
                  <c:v>168385579.84999999</c:v>
                </c:pt>
                <c:pt idx="3">
                  <c:v>182376500</c:v>
                </c:pt>
                <c:pt idx="4">
                  <c:v>215786255.86000001</c:v>
                </c:pt>
                <c:pt idx="5">
                  <c:v>262429320</c:v>
                </c:pt>
                <c:pt idx="6">
                  <c:v>141187420</c:v>
                </c:pt>
              </c:numCache>
            </c:numRef>
          </c:val>
        </c:ser>
        <c:dLbls>
          <c:showLegendKey val="0"/>
          <c:showVal val="0"/>
          <c:showCatName val="0"/>
          <c:showSerName val="0"/>
          <c:showPercent val="0"/>
          <c:showBubbleSize val="0"/>
        </c:dLbls>
        <c:gapWidth val="87"/>
        <c:shape val="cylinder"/>
        <c:axId val="280268768"/>
        <c:axId val="280273472"/>
        <c:axId val="0"/>
      </c:bar3DChart>
      <c:catAx>
        <c:axId val="280268768"/>
        <c:scaling>
          <c:orientation val="minMax"/>
        </c:scaling>
        <c:delete val="0"/>
        <c:axPos val="b"/>
        <c:numFmt formatCode="General" sourceLinked="1"/>
        <c:majorTickMark val="out"/>
        <c:minorTickMark val="none"/>
        <c:tickLblPos val="nextTo"/>
        <c:txPr>
          <a:bodyPr/>
          <a:lstStyle/>
          <a:p>
            <a:pPr>
              <a:defRPr sz="1200"/>
            </a:pPr>
            <a:endParaRPr lang="es-ES"/>
          </a:p>
        </c:txPr>
        <c:crossAx val="280273472"/>
        <c:crosses val="autoZero"/>
        <c:auto val="1"/>
        <c:lblAlgn val="ctr"/>
        <c:lblOffset val="100"/>
        <c:noMultiLvlLbl val="0"/>
      </c:catAx>
      <c:valAx>
        <c:axId val="280273472"/>
        <c:scaling>
          <c:orientation val="minMax"/>
        </c:scaling>
        <c:delete val="0"/>
        <c:axPos val="l"/>
        <c:numFmt formatCode="#,##0.0" sourceLinked="1"/>
        <c:majorTickMark val="out"/>
        <c:minorTickMark val="none"/>
        <c:tickLblPos val="nextTo"/>
        <c:crossAx val="28026876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'!$B$3:$H$3</c:f>
              <c:numCache>
                <c:formatCode>General</c:formatCode>
                <c:ptCount val="7"/>
                <c:pt idx="0">
                  <c:v>2008</c:v>
                </c:pt>
                <c:pt idx="1">
                  <c:v>2009</c:v>
                </c:pt>
                <c:pt idx="2">
                  <c:v>2010</c:v>
                </c:pt>
                <c:pt idx="3">
                  <c:v>2011</c:v>
                </c:pt>
                <c:pt idx="4">
                  <c:v>2012</c:v>
                </c:pt>
                <c:pt idx="5">
                  <c:v>2013</c:v>
                </c:pt>
                <c:pt idx="6">
                  <c:v>2014</c:v>
                </c:pt>
              </c:numCache>
            </c:numRef>
          </c:cat>
          <c:val>
            <c:numRef>
              <c:f>' V.2.3.Benef. subsid '!$B$4:$H$4</c:f>
              <c:numCache>
                <c:formatCode>_(* #,##0_);_(* \(#,##0\);_(* "-"_);_(@_)</c:formatCode>
                <c:ptCount val="7"/>
                <c:pt idx="0">
                  <c:v>2518</c:v>
                </c:pt>
                <c:pt idx="1">
                  <c:v>16955</c:v>
                </c:pt>
                <c:pt idx="2">
                  <c:v>18655</c:v>
                </c:pt>
                <c:pt idx="3">
                  <c:v>14305</c:v>
                </c:pt>
                <c:pt idx="4">
                  <c:v>15292</c:v>
                </c:pt>
                <c:pt idx="5">
                  <c:v>19150</c:v>
                </c:pt>
                <c:pt idx="6">
                  <c:v>19193</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'!$B$3:$H$3</c:f>
              <c:numCache>
                <c:formatCode>General</c:formatCode>
                <c:ptCount val="7"/>
                <c:pt idx="0">
                  <c:v>2008</c:v>
                </c:pt>
                <c:pt idx="1">
                  <c:v>2009</c:v>
                </c:pt>
                <c:pt idx="2">
                  <c:v>2010</c:v>
                </c:pt>
                <c:pt idx="3">
                  <c:v>2011</c:v>
                </c:pt>
                <c:pt idx="4">
                  <c:v>2012</c:v>
                </c:pt>
                <c:pt idx="5">
                  <c:v>2013</c:v>
                </c:pt>
                <c:pt idx="6">
                  <c:v>2014</c:v>
                </c:pt>
              </c:numCache>
            </c:numRef>
          </c:cat>
          <c:val>
            <c:numRef>
              <c:f>' V.2.3.Benef. subsid '!$B$5:$H$5</c:f>
              <c:numCache>
                <c:formatCode>_(* #,##0_);_(* \(#,##0\);_(* "-"_);_(@_)</c:formatCode>
                <c:ptCount val="7"/>
                <c:pt idx="0">
                  <c:v>1331</c:v>
                </c:pt>
                <c:pt idx="1">
                  <c:v>12867</c:v>
                </c:pt>
                <c:pt idx="2">
                  <c:v>14071</c:v>
                </c:pt>
                <c:pt idx="3">
                  <c:v>10990</c:v>
                </c:pt>
                <c:pt idx="4">
                  <c:v>9470</c:v>
                </c:pt>
                <c:pt idx="5">
                  <c:v>15649</c:v>
                </c:pt>
                <c:pt idx="6">
                  <c:v>14990</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'!$B$3:$H$3</c:f>
              <c:numCache>
                <c:formatCode>General</c:formatCode>
                <c:ptCount val="7"/>
                <c:pt idx="0">
                  <c:v>2008</c:v>
                </c:pt>
                <c:pt idx="1">
                  <c:v>2009</c:v>
                </c:pt>
                <c:pt idx="2">
                  <c:v>2010</c:v>
                </c:pt>
                <c:pt idx="3">
                  <c:v>2011</c:v>
                </c:pt>
                <c:pt idx="4">
                  <c:v>2012</c:v>
                </c:pt>
                <c:pt idx="5">
                  <c:v>2013</c:v>
                </c:pt>
                <c:pt idx="6">
                  <c:v>2014</c:v>
                </c:pt>
              </c:numCache>
            </c:numRef>
          </c:cat>
          <c:val>
            <c:numRef>
              <c:f>' V.2.3.Benef. subsid '!$B$6:$H$6</c:f>
              <c:numCache>
                <c:formatCode>_(* #,##0_);_(* \(#,##0\);_(* "-"_);_(@_)</c:formatCode>
                <c:ptCount val="7"/>
                <c:pt idx="0">
                  <c:v>0</c:v>
                </c:pt>
                <c:pt idx="1">
                  <c:v>3795</c:v>
                </c:pt>
                <c:pt idx="2">
                  <c:v>24841</c:v>
                </c:pt>
                <c:pt idx="3">
                  <c:v>33003</c:v>
                </c:pt>
                <c:pt idx="4">
                  <c:v>37654</c:v>
                </c:pt>
                <c:pt idx="5">
                  <c:v>46049</c:v>
                </c:pt>
                <c:pt idx="6">
                  <c:v>59366</c:v>
                </c:pt>
              </c:numCache>
            </c:numRef>
          </c:val>
        </c:ser>
        <c:dLbls>
          <c:showLegendKey val="0"/>
          <c:showVal val="0"/>
          <c:showCatName val="0"/>
          <c:showSerName val="0"/>
          <c:showPercent val="0"/>
          <c:showBubbleSize val="0"/>
        </c:dLbls>
        <c:gapWidth val="67"/>
        <c:shape val="cylinder"/>
        <c:axId val="280269944"/>
        <c:axId val="280274256"/>
        <c:axId val="0"/>
      </c:bar3DChart>
      <c:catAx>
        <c:axId val="280269944"/>
        <c:scaling>
          <c:orientation val="minMax"/>
        </c:scaling>
        <c:delete val="0"/>
        <c:axPos val="b"/>
        <c:numFmt formatCode="General" sourceLinked="1"/>
        <c:majorTickMark val="none"/>
        <c:minorTickMark val="none"/>
        <c:tickLblPos val="nextTo"/>
        <c:txPr>
          <a:bodyPr/>
          <a:lstStyle/>
          <a:p>
            <a:pPr>
              <a:defRPr sz="1200"/>
            </a:pPr>
            <a:endParaRPr lang="es-ES"/>
          </a:p>
        </c:txPr>
        <c:crossAx val="280274256"/>
        <c:crosses val="autoZero"/>
        <c:auto val="1"/>
        <c:lblAlgn val="ctr"/>
        <c:lblOffset val="100"/>
        <c:noMultiLvlLbl val="0"/>
      </c:catAx>
      <c:valAx>
        <c:axId val="280274256"/>
        <c:scaling>
          <c:orientation val="minMax"/>
        </c:scaling>
        <c:delete val="1"/>
        <c:axPos val="l"/>
        <c:numFmt formatCode="_(* #,##0_);_(* \(#,##0\);_(* &quot;-&quot;_);_(@_)" sourceLinked="1"/>
        <c:majorTickMark val="out"/>
        <c:minorTickMark val="none"/>
        <c:tickLblPos val="nextTo"/>
        <c:crossAx val="280269944"/>
        <c:crosses val="autoZero"/>
        <c:crossBetween val="between"/>
      </c:valAx>
      <c:spPr>
        <a:noFill/>
        <a:ln w="25400">
          <a:noFill/>
        </a:ln>
      </c:spPr>
    </c:plotArea>
    <c:legend>
      <c:legendPos val="t"/>
      <c:layout>
        <c:manualLayout>
          <c:xMode val="edge"/>
          <c:yMode val="edge"/>
          <c:x val="0.15090648943266416"/>
          <c:y val="0.12478890533925956"/>
          <c:w val="0.38282205740585606"/>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9187991114326999"/>
          <c:w val="0.90458230589690658"/>
          <c:h val="0.68092757063236331"/>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Jun. 2015</c:v>
                </c:pt>
              </c:strCache>
            </c:strRef>
          </c:cat>
          <c:val>
            <c:numRef>
              <c:f>'III.1.5.Cob.Afil. SFS '!$B$4:$B$14</c:f>
              <c:numCache>
                <c:formatCode>#,##0</c:formatCode>
                <c:ptCount val="11"/>
                <c:pt idx="2">
                  <c:v>1599467</c:v>
                </c:pt>
                <c:pt idx="3">
                  <c:v>1729671</c:v>
                </c:pt>
                <c:pt idx="4">
                  <c:v>2096232</c:v>
                </c:pt>
                <c:pt idx="5">
                  <c:v>2417992</c:v>
                </c:pt>
                <c:pt idx="6">
                  <c:v>2586943</c:v>
                </c:pt>
                <c:pt idx="7">
                  <c:v>2747735</c:v>
                </c:pt>
                <c:pt idx="8">
                  <c:v>2965326</c:v>
                </c:pt>
                <c:pt idx="9">
                  <c:v>3224947</c:v>
                </c:pt>
                <c:pt idx="10">
                  <c:v>3360006</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Jun. 2015</c:v>
                </c:pt>
              </c:strCache>
            </c:strRef>
          </c:cat>
          <c:val>
            <c:numRef>
              <c:f>'III.1.5.Cob.Afil. SFS '!$C$4:$C$14</c:f>
              <c:numCache>
                <c:formatCode>#,##0</c:formatCode>
                <c:ptCount val="11"/>
                <c:pt idx="0">
                  <c:v>266531</c:v>
                </c:pt>
                <c:pt idx="1">
                  <c:v>513416</c:v>
                </c:pt>
                <c:pt idx="2">
                  <c:v>1081936</c:v>
                </c:pt>
                <c:pt idx="3">
                  <c:v>1224643</c:v>
                </c:pt>
                <c:pt idx="4">
                  <c:v>1346166</c:v>
                </c:pt>
                <c:pt idx="5">
                  <c:v>1847833</c:v>
                </c:pt>
                <c:pt idx="6">
                  <c:v>1996335</c:v>
                </c:pt>
                <c:pt idx="7">
                  <c:v>2294356</c:v>
                </c:pt>
                <c:pt idx="8">
                  <c:v>2646899</c:v>
                </c:pt>
                <c:pt idx="9">
                  <c:v>3015646</c:v>
                </c:pt>
                <c:pt idx="10">
                  <c:v>3037548</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Jun. 2015</c:v>
                </c:pt>
              </c:strCache>
            </c:strRef>
          </c:cat>
          <c:val>
            <c:numRef>
              <c:f>'III.1.5.Cob.Afil. SFS '!$D$4:$D$14</c:f>
              <c:numCache>
                <c:formatCode>#,##0</c:formatCode>
                <c:ptCount val="11"/>
                <c:pt idx="0">
                  <c:v>0</c:v>
                </c:pt>
                <c:pt idx="1">
                  <c:v>0</c:v>
                </c:pt>
                <c:pt idx="2">
                  <c:v>0</c:v>
                </c:pt>
                <c:pt idx="3">
                  <c:v>0</c:v>
                </c:pt>
                <c:pt idx="4">
                  <c:v>18375</c:v>
                </c:pt>
                <c:pt idx="5">
                  <c:v>27177</c:v>
                </c:pt>
                <c:pt idx="6">
                  <c:v>29648</c:v>
                </c:pt>
                <c:pt idx="7">
                  <c:v>30884</c:v>
                </c:pt>
                <c:pt idx="8">
                  <c:v>29217</c:v>
                </c:pt>
                <c:pt idx="9">
                  <c:v>30470</c:v>
                </c:pt>
                <c:pt idx="10">
                  <c:v>30733</c:v>
                </c:pt>
              </c:numCache>
            </c:numRef>
          </c:val>
        </c:ser>
        <c:dLbls>
          <c:showLegendKey val="0"/>
          <c:showVal val="0"/>
          <c:showCatName val="0"/>
          <c:showSerName val="0"/>
          <c:showPercent val="0"/>
          <c:showBubbleSize val="0"/>
        </c:dLbls>
        <c:gapWidth val="7"/>
        <c:overlap val="1"/>
        <c:axId val="877116624"/>
        <c:axId val="877117408"/>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Jun. 2015</c:v>
                </c:pt>
              </c:strCache>
            </c:strRef>
          </c:cat>
          <c:val>
            <c:numRef>
              <c:f>'III.1.5.Cob.Afil. SFS '!$F$4:$F$14</c:f>
              <c:numCache>
                <c:formatCode>0.00%</c:formatCode>
                <c:ptCount val="11"/>
                <c:pt idx="2" formatCode="0.0%">
                  <c:v>0.59650377060068926</c:v>
                </c:pt>
                <c:pt idx="3" formatCode="0.0%">
                  <c:v>0.5854729727442648</c:v>
                </c:pt>
                <c:pt idx="4" formatCode="0.0%">
                  <c:v>0.60571207646384206</c:v>
                </c:pt>
                <c:pt idx="5" formatCode="0.0%">
                  <c:v>0.56324036187264759</c:v>
                </c:pt>
                <c:pt idx="6" formatCode="0.0%">
                  <c:v>0.56080305645484019</c:v>
                </c:pt>
                <c:pt idx="7" formatCode="0.0%">
                  <c:v>0.54164173882189448</c:v>
                </c:pt>
                <c:pt idx="8" formatCode="0.0%">
                  <c:v>0.52563263080609535</c:v>
                </c:pt>
                <c:pt idx="9" formatCode="0.0%">
                  <c:v>0.5142584279571103</c:v>
                </c:pt>
                <c:pt idx="10" formatCode="0.0%">
                  <c:v>0.52269072616079526</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Jun. 2015</c:v>
                </c:pt>
              </c:strCache>
            </c:strRef>
          </c:cat>
          <c:val>
            <c:numRef>
              <c:f>'III.1.5.Cob.Afil. SFS '!$G$4:$G$14</c:f>
              <c:numCache>
                <c:formatCode>0.0%</c:formatCode>
                <c:ptCount val="11"/>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0.47252837342203297</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Jun. 2015</c:v>
                </c:pt>
              </c:strCache>
            </c:strRef>
          </c:cat>
          <c:val>
            <c:numRef>
              <c:f>'III.1.5.Cob.Afil. SFS '!$H$4:$H$14</c:f>
              <c:numCache>
                <c:formatCode>_(* #,##0.00_);_(* \(#,##0.00\);_(* "-"??_);_(@_)</c:formatCode>
                <c:ptCount val="11"/>
                <c:pt idx="4" formatCode="0.00%">
                  <c:v>5.309507442412432E-3</c:v>
                </c:pt>
                <c:pt idx="5" formatCode="0.00%">
                  <c:v>6.3305351360190372E-3</c:v>
                </c:pt>
                <c:pt idx="6" formatCode="0.00%">
                  <c:v>6.4271570799098012E-3</c:v>
                </c:pt>
                <c:pt idx="7" formatCode="0.00%">
                  <c:v>6.0879464219713289E-3</c:v>
                </c:pt>
                <c:pt idx="8" formatCode="0.00%">
                  <c:v>5.1789950158133329E-3</c:v>
                </c:pt>
                <c:pt idx="9" formatCode="0.00%">
                  <c:v>4.8588253697977521E-3</c:v>
                </c:pt>
                <c:pt idx="10" formatCode="0.00%">
                  <c:v>4.7809004171717913E-3</c:v>
                </c:pt>
              </c:numCache>
            </c:numRef>
          </c:val>
          <c:smooth val="0"/>
        </c:ser>
        <c:dLbls>
          <c:showLegendKey val="0"/>
          <c:showVal val="0"/>
          <c:showCatName val="0"/>
          <c:showSerName val="0"/>
          <c:showPercent val="0"/>
          <c:showBubbleSize val="0"/>
        </c:dLbls>
        <c:marker val="1"/>
        <c:smooth val="0"/>
        <c:axId val="877118192"/>
        <c:axId val="877117800"/>
      </c:lineChart>
      <c:catAx>
        <c:axId val="877116624"/>
        <c:scaling>
          <c:orientation val="minMax"/>
        </c:scaling>
        <c:delete val="0"/>
        <c:axPos val="b"/>
        <c:numFmt formatCode="General" sourceLinked="0"/>
        <c:majorTickMark val="none"/>
        <c:minorTickMark val="none"/>
        <c:tickLblPos val="nextTo"/>
        <c:txPr>
          <a:bodyPr/>
          <a:lstStyle/>
          <a:p>
            <a:pPr>
              <a:defRPr sz="1800"/>
            </a:pPr>
            <a:endParaRPr lang="es-ES"/>
          </a:p>
        </c:txPr>
        <c:crossAx val="877117408"/>
        <c:crosses val="autoZero"/>
        <c:auto val="1"/>
        <c:lblAlgn val="ctr"/>
        <c:lblOffset val="100"/>
        <c:noMultiLvlLbl val="0"/>
      </c:catAx>
      <c:valAx>
        <c:axId val="877117408"/>
        <c:scaling>
          <c:orientation val="minMax"/>
        </c:scaling>
        <c:delete val="0"/>
        <c:axPos val="l"/>
        <c:numFmt formatCode="#,##0" sourceLinked="1"/>
        <c:majorTickMark val="none"/>
        <c:minorTickMark val="none"/>
        <c:tickLblPos val="nextTo"/>
        <c:txPr>
          <a:bodyPr/>
          <a:lstStyle/>
          <a:p>
            <a:pPr>
              <a:defRPr sz="1200"/>
            </a:pPr>
            <a:endParaRPr lang="es-ES"/>
          </a:p>
        </c:txPr>
        <c:crossAx val="877116624"/>
        <c:crosses val="autoZero"/>
        <c:crossBetween val="between"/>
        <c:dispUnits>
          <c:builtInUnit val="thousands"/>
          <c:dispUnitsLbl/>
        </c:dispUnits>
      </c:valAx>
      <c:valAx>
        <c:axId val="877117800"/>
        <c:scaling>
          <c:orientation val="minMax"/>
          <c:max val="2"/>
        </c:scaling>
        <c:delete val="0"/>
        <c:axPos val="r"/>
        <c:numFmt formatCode="0.00%" sourceLinked="1"/>
        <c:majorTickMark val="out"/>
        <c:minorTickMark val="none"/>
        <c:tickLblPos val="nextTo"/>
        <c:crossAx val="877118192"/>
        <c:crosses val="max"/>
        <c:crossBetween val="between"/>
      </c:valAx>
      <c:catAx>
        <c:axId val="877118192"/>
        <c:scaling>
          <c:orientation val="minMax"/>
        </c:scaling>
        <c:delete val="1"/>
        <c:axPos val="b"/>
        <c:numFmt formatCode="General" sourceLinked="1"/>
        <c:majorTickMark val="out"/>
        <c:minorTickMark val="none"/>
        <c:tickLblPos val="nextTo"/>
        <c:crossAx val="877117800"/>
        <c:crosses val="autoZero"/>
        <c:auto val="1"/>
        <c:lblAlgn val="ctr"/>
        <c:lblOffset val="100"/>
        <c:noMultiLvlLbl val="0"/>
      </c:catAx>
    </c:plotArea>
    <c:legend>
      <c:legendPos val="t"/>
      <c:layout>
        <c:manualLayout>
          <c:xMode val="edge"/>
          <c:yMode val="edge"/>
          <c:x val="0.17651726753559829"/>
          <c:y val="7.072648832812814E-2"/>
          <c:w val="0.6962945502532309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1292022607032685E-4"/>
          <c:y val="0.3696757555960527"/>
          <c:w val="0.98392966852334818"/>
          <c:h val="0.46812034521885632"/>
        </c:manualLayout>
      </c:layout>
      <c:bar3DChart>
        <c:barDir val="col"/>
        <c:grouping val="clustered"/>
        <c:varyColors val="0"/>
        <c:ser>
          <c:idx val="0"/>
          <c:order val="0"/>
          <c:tx>
            <c:strRef>
              <c:f>'V.2.4. Monto subsid (2)'!$A$5</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 (2)'!$B$4:$H$4</c:f>
              <c:numCache>
                <c:formatCode>General</c:formatCode>
                <c:ptCount val="7"/>
                <c:pt idx="0">
                  <c:v>2008</c:v>
                </c:pt>
                <c:pt idx="1">
                  <c:v>2009</c:v>
                </c:pt>
                <c:pt idx="2">
                  <c:v>2010</c:v>
                </c:pt>
                <c:pt idx="3">
                  <c:v>2011</c:v>
                </c:pt>
                <c:pt idx="4">
                  <c:v>2012</c:v>
                </c:pt>
                <c:pt idx="5">
                  <c:v>2013</c:v>
                </c:pt>
                <c:pt idx="6">
                  <c:v>2014</c:v>
                </c:pt>
              </c:numCache>
            </c:numRef>
          </c:cat>
          <c:val>
            <c:numRef>
              <c:f>'V.2.4. Monto subsid (2)'!$B$5:$H$5</c:f>
              <c:numCache>
                <c:formatCode>_(* #,##0.00_);_(* \(#,##0.00\);_(* "-"_);_(@_)</c:formatCode>
                <c:ptCount val="7"/>
                <c:pt idx="0">
                  <c:v>70.290000000000006</c:v>
                </c:pt>
                <c:pt idx="1">
                  <c:v>570.66999999999996</c:v>
                </c:pt>
                <c:pt idx="2">
                  <c:v>668.91</c:v>
                </c:pt>
                <c:pt idx="3">
                  <c:v>537.49</c:v>
                </c:pt>
                <c:pt idx="4">
                  <c:v>571.48</c:v>
                </c:pt>
                <c:pt idx="5">
                  <c:v>765.36</c:v>
                </c:pt>
                <c:pt idx="6">
                  <c:v>829.13</c:v>
                </c:pt>
              </c:numCache>
            </c:numRef>
          </c:val>
        </c:ser>
        <c:ser>
          <c:idx val="1"/>
          <c:order val="1"/>
          <c:tx>
            <c:strRef>
              <c:f>'V.2.4. Monto subsid (2)'!$A$6</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 (2)'!$B$4:$H$4</c:f>
              <c:numCache>
                <c:formatCode>General</c:formatCode>
                <c:ptCount val="7"/>
                <c:pt idx="0">
                  <c:v>2008</c:v>
                </c:pt>
                <c:pt idx="1">
                  <c:v>2009</c:v>
                </c:pt>
                <c:pt idx="2">
                  <c:v>2010</c:v>
                </c:pt>
                <c:pt idx="3">
                  <c:v>2011</c:v>
                </c:pt>
                <c:pt idx="4">
                  <c:v>2012</c:v>
                </c:pt>
                <c:pt idx="5">
                  <c:v>2013</c:v>
                </c:pt>
                <c:pt idx="6">
                  <c:v>2014</c:v>
                </c:pt>
              </c:numCache>
            </c:numRef>
          </c:cat>
          <c:val>
            <c:numRef>
              <c:f>'V.2.4. Monto subsid (2)'!$B$6:$H$6</c:f>
              <c:numCache>
                <c:formatCode>_(* #,##0.00_);_(* \(#,##0.00\);_(* "-"_);_(@_)</c:formatCode>
                <c:ptCount val="7"/>
                <c:pt idx="0">
                  <c:v>19.010000000000002</c:v>
                </c:pt>
                <c:pt idx="1">
                  <c:v>181.91</c:v>
                </c:pt>
                <c:pt idx="2">
                  <c:v>196.35</c:v>
                </c:pt>
                <c:pt idx="3">
                  <c:v>153.53</c:v>
                </c:pt>
                <c:pt idx="4">
                  <c:v>133.61000000000001</c:v>
                </c:pt>
                <c:pt idx="5">
                  <c:v>226.31</c:v>
                </c:pt>
                <c:pt idx="6">
                  <c:v>211.58</c:v>
                </c:pt>
              </c:numCache>
            </c:numRef>
          </c:val>
        </c:ser>
        <c:ser>
          <c:idx val="2"/>
          <c:order val="2"/>
          <c:tx>
            <c:strRef>
              <c:f>'V.2.4. Monto subsid (2)'!$A$7</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 (2)'!$B$4:$H$4</c:f>
              <c:numCache>
                <c:formatCode>General</c:formatCode>
                <c:ptCount val="7"/>
                <c:pt idx="0">
                  <c:v>2008</c:v>
                </c:pt>
                <c:pt idx="1">
                  <c:v>2009</c:v>
                </c:pt>
                <c:pt idx="2">
                  <c:v>2010</c:v>
                </c:pt>
                <c:pt idx="3">
                  <c:v>2011</c:v>
                </c:pt>
                <c:pt idx="4">
                  <c:v>2012</c:v>
                </c:pt>
                <c:pt idx="5">
                  <c:v>2013</c:v>
                </c:pt>
                <c:pt idx="6">
                  <c:v>2014</c:v>
                </c:pt>
              </c:numCache>
            </c:numRef>
          </c:cat>
          <c:val>
            <c:numRef>
              <c:f>'V.2.4. Monto subsid (2)'!$B$7:$H$7</c:f>
              <c:numCache>
                <c:formatCode>_(* #,##0.00_);_(* \(#,##0.00\);_(* "-"_);_(@_)</c:formatCode>
                <c:ptCount val="7"/>
                <c:pt idx="0">
                  <c:v>0</c:v>
                </c:pt>
                <c:pt idx="1">
                  <c:v>14.43</c:v>
                </c:pt>
                <c:pt idx="2">
                  <c:v>101</c:v>
                </c:pt>
                <c:pt idx="3">
                  <c:v>134.1</c:v>
                </c:pt>
                <c:pt idx="4">
                  <c:v>157.84</c:v>
                </c:pt>
                <c:pt idx="5">
                  <c:v>211.27</c:v>
                </c:pt>
                <c:pt idx="6">
                  <c:v>248.73</c:v>
                </c:pt>
              </c:numCache>
            </c:numRef>
          </c:val>
        </c:ser>
        <c:dLbls>
          <c:showLegendKey val="0"/>
          <c:showVal val="0"/>
          <c:showCatName val="0"/>
          <c:showSerName val="0"/>
          <c:showPercent val="0"/>
          <c:showBubbleSize val="0"/>
        </c:dLbls>
        <c:gapWidth val="89"/>
        <c:shape val="cylinder"/>
        <c:axId val="280275040"/>
        <c:axId val="280275432"/>
        <c:axId val="0"/>
      </c:bar3DChart>
      <c:catAx>
        <c:axId val="280275040"/>
        <c:scaling>
          <c:orientation val="minMax"/>
        </c:scaling>
        <c:delete val="0"/>
        <c:axPos val="b"/>
        <c:numFmt formatCode="General" sourceLinked="1"/>
        <c:majorTickMark val="none"/>
        <c:minorTickMark val="none"/>
        <c:tickLblPos val="nextTo"/>
        <c:txPr>
          <a:bodyPr/>
          <a:lstStyle/>
          <a:p>
            <a:pPr>
              <a:defRPr sz="1600"/>
            </a:pPr>
            <a:endParaRPr lang="es-ES"/>
          </a:p>
        </c:txPr>
        <c:crossAx val="280275432"/>
        <c:crosses val="autoZero"/>
        <c:auto val="1"/>
        <c:lblAlgn val="ctr"/>
        <c:lblOffset val="100"/>
        <c:noMultiLvlLbl val="0"/>
      </c:catAx>
      <c:valAx>
        <c:axId val="280275432"/>
        <c:scaling>
          <c:orientation val="minMax"/>
        </c:scaling>
        <c:delete val="1"/>
        <c:axPos val="l"/>
        <c:numFmt formatCode="_(* #,##0.00_);_(* \(#,##0.00\);_(* &quot;-&quot;_);_(@_)" sourceLinked="1"/>
        <c:majorTickMark val="out"/>
        <c:minorTickMark val="none"/>
        <c:tickLblPos val="nextTo"/>
        <c:crossAx val="280275040"/>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0709359224279223"/>
          <c:y val="2.1457605260193781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5.637887302036157E-2"/>
          <c:y val="0.20968029187929629"/>
          <c:w val="0.92751579332359324"/>
          <c:h val="0.63588298716591229"/>
        </c:manualLayout>
      </c:layout>
      <c:bar3DChart>
        <c:barDir val="col"/>
        <c:grouping val="clustered"/>
        <c:varyColors val="0"/>
        <c:ser>
          <c:idx val="0"/>
          <c:order val="0"/>
          <c:tx>
            <c:strRef>
              <c:f>'V.3.2 Pensiones por año'!$B$4</c:f>
              <c:strCache>
                <c:ptCount val="1"/>
                <c:pt idx="0">
                  <c:v>Pensiones 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2463768708684581E-3"/>
                  <c:y val="-2.253339466832676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año'!$A$7:$A$17</c:f>
              <c:strCache>
                <c:ptCount val="11"/>
                <c:pt idx="0">
                  <c:v>2005</c:v>
                </c:pt>
                <c:pt idx="1">
                  <c:v>2006</c:v>
                </c:pt>
                <c:pt idx="2">
                  <c:v>2007</c:v>
                </c:pt>
                <c:pt idx="3">
                  <c:v>2008</c:v>
                </c:pt>
                <c:pt idx="4">
                  <c:v>2009</c:v>
                </c:pt>
                <c:pt idx="5">
                  <c:v>2010</c:v>
                </c:pt>
                <c:pt idx="6">
                  <c:v>2011</c:v>
                </c:pt>
                <c:pt idx="7">
                  <c:v>2012</c:v>
                </c:pt>
                <c:pt idx="8">
                  <c:v>2013</c:v>
                </c:pt>
                <c:pt idx="9">
                  <c:v>2014</c:v>
                </c:pt>
                <c:pt idx="10">
                  <c:v>Ene-Jun.2015</c:v>
                </c:pt>
              </c:strCache>
            </c:strRef>
          </c:cat>
          <c:val>
            <c:numRef>
              <c:f>'V.3.2 Pensiones por año'!$B$7:$B$17</c:f>
              <c:numCache>
                <c:formatCode>#,##0</c:formatCode>
                <c:ptCount val="11"/>
                <c:pt idx="0">
                  <c:v>181</c:v>
                </c:pt>
                <c:pt idx="1">
                  <c:v>278</c:v>
                </c:pt>
                <c:pt idx="2">
                  <c:v>252</c:v>
                </c:pt>
                <c:pt idx="3">
                  <c:v>362</c:v>
                </c:pt>
                <c:pt idx="4">
                  <c:v>581</c:v>
                </c:pt>
                <c:pt idx="5">
                  <c:v>415</c:v>
                </c:pt>
                <c:pt idx="6">
                  <c:v>506</c:v>
                </c:pt>
                <c:pt idx="7">
                  <c:v>603</c:v>
                </c:pt>
                <c:pt idx="8">
                  <c:v>659</c:v>
                </c:pt>
                <c:pt idx="9">
                  <c:v>722</c:v>
                </c:pt>
                <c:pt idx="10">
                  <c:v>405</c:v>
                </c:pt>
              </c:numCache>
            </c:numRef>
          </c:val>
        </c:ser>
        <c:ser>
          <c:idx val="1"/>
          <c:order val="1"/>
          <c:tx>
            <c:strRef>
              <c:f>'V.3.2 Pensiones por año'!$C$4</c:f>
              <c:strCache>
                <c:ptCount val="1"/>
                <c:pt idx="0">
                  <c:v>Beneficiarios  por pensiones de Sobrevivencia</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año'!$A$7:$A$17</c:f>
              <c:strCache>
                <c:ptCount val="11"/>
                <c:pt idx="0">
                  <c:v>2005</c:v>
                </c:pt>
                <c:pt idx="1">
                  <c:v>2006</c:v>
                </c:pt>
                <c:pt idx="2">
                  <c:v>2007</c:v>
                </c:pt>
                <c:pt idx="3">
                  <c:v>2008</c:v>
                </c:pt>
                <c:pt idx="4">
                  <c:v>2009</c:v>
                </c:pt>
                <c:pt idx="5">
                  <c:v>2010</c:v>
                </c:pt>
                <c:pt idx="6">
                  <c:v>2011</c:v>
                </c:pt>
                <c:pt idx="7">
                  <c:v>2012</c:v>
                </c:pt>
                <c:pt idx="8">
                  <c:v>2013</c:v>
                </c:pt>
                <c:pt idx="9">
                  <c:v>2014</c:v>
                </c:pt>
                <c:pt idx="10">
                  <c:v>Ene-Jun.2015</c:v>
                </c:pt>
              </c:strCache>
            </c:strRef>
          </c:cat>
          <c:val>
            <c:numRef>
              <c:f>'V.3.2 Pensiones por año'!$C$7:$C$17</c:f>
            </c:numRef>
          </c:val>
        </c:ser>
        <c:ser>
          <c:idx val="2"/>
          <c:order val="2"/>
          <c:tx>
            <c:strRef>
              <c:f>'V.3.2 Pensiones por año'!$D$4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año'!$A$7:$A$17</c:f>
              <c:strCache>
                <c:ptCount val="11"/>
                <c:pt idx="0">
                  <c:v>2005</c:v>
                </c:pt>
                <c:pt idx="1">
                  <c:v>2006</c:v>
                </c:pt>
                <c:pt idx="2">
                  <c:v>2007</c:v>
                </c:pt>
                <c:pt idx="3">
                  <c:v>2008</c:v>
                </c:pt>
                <c:pt idx="4">
                  <c:v>2009</c:v>
                </c:pt>
                <c:pt idx="5">
                  <c:v>2010</c:v>
                </c:pt>
                <c:pt idx="6">
                  <c:v>2011</c:v>
                </c:pt>
                <c:pt idx="7">
                  <c:v>2012</c:v>
                </c:pt>
                <c:pt idx="8">
                  <c:v>2013</c:v>
                </c:pt>
                <c:pt idx="9">
                  <c:v>2014</c:v>
                </c:pt>
                <c:pt idx="10">
                  <c:v>Ene-Jun.2015</c:v>
                </c:pt>
              </c:strCache>
            </c:strRef>
          </c:cat>
          <c:val>
            <c:numRef>
              <c:f>'V.3.2 Pensiones por año'!$D$7:$D$17</c:f>
              <c:numCache>
                <c:formatCode>#,##0</c:formatCode>
                <c:ptCount val="11"/>
                <c:pt idx="0">
                  <c:v>34</c:v>
                </c:pt>
                <c:pt idx="1">
                  <c:v>99</c:v>
                </c:pt>
                <c:pt idx="2">
                  <c:v>154</c:v>
                </c:pt>
                <c:pt idx="3">
                  <c:v>246</c:v>
                </c:pt>
                <c:pt idx="4">
                  <c:v>258</c:v>
                </c:pt>
                <c:pt idx="5">
                  <c:v>255</c:v>
                </c:pt>
                <c:pt idx="6">
                  <c:v>369</c:v>
                </c:pt>
                <c:pt idx="7">
                  <c:v>628</c:v>
                </c:pt>
                <c:pt idx="8">
                  <c:v>1205</c:v>
                </c:pt>
                <c:pt idx="9">
                  <c:v>1005</c:v>
                </c:pt>
                <c:pt idx="10">
                  <c:v>341</c:v>
                </c:pt>
              </c:numCache>
            </c:numRef>
          </c:val>
        </c:ser>
        <c:ser>
          <c:idx val="3"/>
          <c:order val="3"/>
          <c:tx>
            <c:strRef>
              <c:f>'V.3.2 Pensiones por año'!$E$4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año'!$A$7:$A$17</c:f>
              <c:strCache>
                <c:ptCount val="11"/>
                <c:pt idx="0">
                  <c:v>2005</c:v>
                </c:pt>
                <c:pt idx="1">
                  <c:v>2006</c:v>
                </c:pt>
                <c:pt idx="2">
                  <c:v>2007</c:v>
                </c:pt>
                <c:pt idx="3">
                  <c:v>2008</c:v>
                </c:pt>
                <c:pt idx="4">
                  <c:v>2009</c:v>
                </c:pt>
                <c:pt idx="5">
                  <c:v>2010</c:v>
                </c:pt>
                <c:pt idx="6">
                  <c:v>2011</c:v>
                </c:pt>
                <c:pt idx="7">
                  <c:v>2012</c:v>
                </c:pt>
                <c:pt idx="8">
                  <c:v>2013</c:v>
                </c:pt>
                <c:pt idx="9">
                  <c:v>2014</c:v>
                </c:pt>
                <c:pt idx="10">
                  <c:v>Ene-Jun.2015</c:v>
                </c:pt>
              </c:strCache>
            </c:strRef>
          </c:cat>
          <c:val>
            <c:numRef>
              <c:f>'V.3.2 Pensiones por año'!$E$7:$E$17</c:f>
              <c:numCache>
                <c:formatCode>#,##0</c:formatCode>
                <c:ptCount val="11"/>
                <c:pt idx="1">
                  <c:v>3</c:v>
                </c:pt>
                <c:pt idx="4">
                  <c:v>1</c:v>
                </c:pt>
                <c:pt idx="5">
                  <c:v>1</c:v>
                </c:pt>
                <c:pt idx="7">
                  <c:v>1</c:v>
                </c:pt>
                <c:pt idx="8">
                  <c:v>8</c:v>
                </c:pt>
                <c:pt idx="9">
                  <c:v>7</c:v>
                </c:pt>
              </c:numCache>
            </c:numRef>
          </c:val>
        </c:ser>
        <c:dLbls>
          <c:showLegendKey val="0"/>
          <c:showVal val="0"/>
          <c:showCatName val="0"/>
          <c:showSerName val="0"/>
          <c:showPercent val="0"/>
          <c:showBubbleSize val="0"/>
        </c:dLbls>
        <c:gapWidth val="49"/>
        <c:shape val="cylinder"/>
        <c:axId val="272599480"/>
        <c:axId val="272599872"/>
        <c:axId val="0"/>
      </c:bar3DChart>
      <c:catAx>
        <c:axId val="272599480"/>
        <c:scaling>
          <c:orientation val="minMax"/>
        </c:scaling>
        <c:delete val="0"/>
        <c:axPos val="b"/>
        <c:numFmt formatCode="General" sourceLinked="0"/>
        <c:majorTickMark val="out"/>
        <c:minorTickMark val="none"/>
        <c:tickLblPos val="nextTo"/>
        <c:txPr>
          <a:bodyPr/>
          <a:lstStyle/>
          <a:p>
            <a:pPr>
              <a:defRPr sz="1600"/>
            </a:pPr>
            <a:endParaRPr lang="es-ES"/>
          </a:p>
        </c:txPr>
        <c:crossAx val="272599872"/>
        <c:crosses val="autoZero"/>
        <c:auto val="1"/>
        <c:lblAlgn val="ctr"/>
        <c:lblOffset val="100"/>
        <c:noMultiLvlLbl val="0"/>
      </c:catAx>
      <c:valAx>
        <c:axId val="272599872"/>
        <c:scaling>
          <c:orientation val="minMax"/>
        </c:scaling>
        <c:delete val="0"/>
        <c:axPos val="l"/>
        <c:numFmt formatCode="#,##0" sourceLinked="1"/>
        <c:majorTickMark val="out"/>
        <c:minorTickMark val="none"/>
        <c:tickLblPos val="nextTo"/>
        <c:txPr>
          <a:bodyPr/>
          <a:lstStyle/>
          <a:p>
            <a:pPr>
              <a:defRPr sz="1600"/>
            </a:pPr>
            <a:endParaRPr lang="es-ES"/>
          </a:p>
        </c:txPr>
        <c:crossAx val="272599480"/>
        <c:crosses val="autoZero"/>
        <c:crossBetween val="between"/>
      </c:valAx>
    </c:plotArea>
    <c:legend>
      <c:legendPos val="r"/>
      <c:layout>
        <c:manualLayout>
          <c:xMode val="edge"/>
          <c:yMode val="edge"/>
          <c:x val="0.2730901149952355"/>
          <c:y val="7.0913861517207674E-2"/>
          <c:w val="0.50232500953095272"/>
          <c:h val="5.7360890949637998E-2"/>
        </c:manualLayout>
      </c:layout>
      <c:overlay val="0"/>
      <c:txPr>
        <a:bodyPr/>
        <a:lstStyle/>
        <a:p>
          <a:pPr rtl="0">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AFP'!$B$4:$B$11</c:f>
              <c:numCache>
                <c:formatCode>_(* #,##0.00_);_(* \(#,##0.00\);_(* "-"??_);_(@_)</c:formatCode>
                <c:ptCount val="8"/>
                <c:pt idx="0">
                  <c:v>4256.84</c:v>
                </c:pt>
                <c:pt idx="1">
                  <c:v>4465.6400000000003</c:v>
                </c:pt>
                <c:pt idx="2">
                  <c:v>3270.67</c:v>
                </c:pt>
                <c:pt idx="3">
                  <c:v>2652.63</c:v>
                </c:pt>
                <c:pt idx="4">
                  <c:v>4135.34</c:v>
                </c:pt>
                <c:pt idx="5">
                  <c:v>9823.9699999999993</c:v>
                </c:pt>
                <c:pt idx="6">
                  <c:v>10573.15</c:v>
                </c:pt>
                <c:pt idx="7">
                  <c:v>5970.66</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AFP'!$C$4:$C$11</c:f>
              <c:numCache>
                <c:formatCode>_(* #,##0.00_);_(* \(#,##0.00\);_(* "-"??_);_(@_)</c:formatCode>
                <c:ptCount val="8"/>
                <c:pt idx="0">
                  <c:v>9474.51</c:v>
                </c:pt>
                <c:pt idx="1">
                  <c:v>10515.85</c:v>
                </c:pt>
                <c:pt idx="2">
                  <c:v>6982.6</c:v>
                </c:pt>
                <c:pt idx="3">
                  <c:v>6578.5</c:v>
                </c:pt>
                <c:pt idx="4">
                  <c:v>8806.44</c:v>
                </c:pt>
                <c:pt idx="5">
                  <c:v>29796.13</c:v>
                </c:pt>
                <c:pt idx="6">
                  <c:v>23289.58</c:v>
                </c:pt>
                <c:pt idx="7">
                  <c:v>15284</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AFP'!$D$4:$D$11</c:f>
              <c:numCache>
                <c:formatCode>_(* #,##0.00_);_(* \(#,##0.00\);_(* "-"??_);_(@_)</c:formatCode>
                <c:ptCount val="8"/>
                <c:pt idx="0">
                  <c:v>7524.26</c:v>
                </c:pt>
                <c:pt idx="1">
                  <c:v>7760.92</c:v>
                </c:pt>
                <c:pt idx="2">
                  <c:v>5843.29</c:v>
                </c:pt>
                <c:pt idx="3">
                  <c:v>4860.5200000000004</c:v>
                </c:pt>
                <c:pt idx="4">
                  <c:v>7151.73</c:v>
                </c:pt>
                <c:pt idx="5">
                  <c:v>25257</c:v>
                </c:pt>
                <c:pt idx="6">
                  <c:v>17497.939999999999</c:v>
                </c:pt>
                <c:pt idx="7">
                  <c:v>11027.68</c:v>
                </c:pt>
              </c:numCache>
            </c:numRef>
          </c:val>
        </c:ser>
        <c:dLbls>
          <c:showLegendKey val="0"/>
          <c:showVal val="0"/>
          <c:showCatName val="0"/>
          <c:showSerName val="0"/>
          <c:showPercent val="0"/>
          <c:showBubbleSize val="0"/>
        </c:dLbls>
        <c:gapWidth val="64"/>
        <c:shape val="cylinder"/>
        <c:axId val="272600656"/>
        <c:axId val="272601048"/>
        <c:axId val="0"/>
      </c:bar3DChart>
      <c:catAx>
        <c:axId val="272600656"/>
        <c:scaling>
          <c:orientation val="minMax"/>
        </c:scaling>
        <c:delete val="0"/>
        <c:axPos val="b"/>
        <c:numFmt formatCode="General" sourceLinked="0"/>
        <c:majorTickMark val="out"/>
        <c:minorTickMark val="none"/>
        <c:tickLblPos val="nextTo"/>
        <c:txPr>
          <a:bodyPr/>
          <a:lstStyle/>
          <a:p>
            <a:pPr>
              <a:defRPr sz="1400"/>
            </a:pPr>
            <a:endParaRPr lang="es-ES"/>
          </a:p>
        </c:txPr>
        <c:crossAx val="272601048"/>
        <c:crosses val="autoZero"/>
        <c:auto val="1"/>
        <c:lblAlgn val="ctr"/>
        <c:lblOffset val="100"/>
        <c:noMultiLvlLbl val="0"/>
      </c:catAx>
      <c:valAx>
        <c:axId val="272601048"/>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272600656"/>
        <c:crosses val="autoZero"/>
        <c:crossBetween val="between"/>
      </c:valAx>
    </c:plotArea>
    <c:legend>
      <c:legendPos val="r"/>
      <c:layout>
        <c:manualLayout>
          <c:xMode val="edge"/>
          <c:yMode val="edge"/>
          <c:x val="0.23743401305606029"/>
          <c:y val="6.1873101957004718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18682006066607"/>
          <c:y val="4.1532114940568327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0075093906674855E-2"/>
          <c:y val="0.27615837747535554"/>
          <c:w val="0.89235400066009718"/>
          <c:h val="0.57904044463260929"/>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Sob.Disc'!$B$4:$B$11</c:f>
              <c:numCache>
                <c:formatCode>_(* #,##0.00_);_(* \(#,##0.00\);_(* "-"??_);_(@_)</c:formatCode>
                <c:ptCount val="8"/>
                <c:pt idx="0">
                  <c:v>11697.26</c:v>
                </c:pt>
                <c:pt idx="1">
                  <c:v>12178.47</c:v>
                </c:pt>
                <c:pt idx="2">
                  <c:v>8912.58</c:v>
                </c:pt>
                <c:pt idx="3">
                  <c:v>8974.4</c:v>
                </c:pt>
                <c:pt idx="4">
                  <c:v>10625.23</c:v>
                </c:pt>
                <c:pt idx="5">
                  <c:v>27808.65</c:v>
                </c:pt>
                <c:pt idx="6">
                  <c:v>11103.35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Sob.Disc'!$C$4:$C$11</c:f>
              <c:numCache>
                <c:formatCode>_(* #,##0.00_);_(* \(#,##0.00\);_(* "-"??_);_(@_)</c:formatCode>
                <c:ptCount val="8"/>
                <c:pt idx="0">
                  <c:v>7524.26</c:v>
                </c:pt>
                <c:pt idx="1">
                  <c:v>7760.92</c:v>
                </c:pt>
                <c:pt idx="2">
                  <c:v>5843.29</c:v>
                </c:pt>
                <c:pt idx="3">
                  <c:v>4860.5200000000004</c:v>
                </c:pt>
                <c:pt idx="4">
                  <c:v>7151.73</c:v>
                </c:pt>
                <c:pt idx="5">
                  <c:v>25257</c:v>
                </c:pt>
                <c:pt idx="6">
                  <c:v>17497.939999999999</c:v>
                </c:pt>
                <c:pt idx="7">
                  <c:v>11027.68</c:v>
                </c:pt>
              </c:numCache>
            </c:numRef>
          </c:val>
        </c:ser>
        <c:dLbls>
          <c:showLegendKey val="0"/>
          <c:showVal val="0"/>
          <c:showCatName val="0"/>
          <c:showSerName val="0"/>
          <c:showPercent val="0"/>
          <c:showBubbleSize val="0"/>
        </c:dLbls>
        <c:gapWidth val="60"/>
        <c:shape val="cylinder"/>
        <c:axId val="272602224"/>
        <c:axId val="272602616"/>
        <c:axId val="0"/>
      </c:bar3DChart>
      <c:catAx>
        <c:axId val="272602224"/>
        <c:scaling>
          <c:orientation val="minMax"/>
        </c:scaling>
        <c:delete val="0"/>
        <c:axPos val="b"/>
        <c:numFmt formatCode="General" sourceLinked="0"/>
        <c:majorTickMark val="out"/>
        <c:minorTickMark val="none"/>
        <c:tickLblPos val="nextTo"/>
        <c:txPr>
          <a:bodyPr/>
          <a:lstStyle/>
          <a:p>
            <a:pPr>
              <a:defRPr sz="900"/>
            </a:pPr>
            <a:endParaRPr lang="es-ES"/>
          </a:p>
        </c:txPr>
        <c:crossAx val="272602616"/>
        <c:crosses val="autoZero"/>
        <c:auto val="1"/>
        <c:lblAlgn val="ctr"/>
        <c:lblOffset val="100"/>
        <c:noMultiLvlLbl val="0"/>
      </c:catAx>
      <c:valAx>
        <c:axId val="272602616"/>
        <c:scaling>
          <c:orientation val="minMax"/>
        </c:scaling>
        <c:delete val="0"/>
        <c:axPos val="l"/>
        <c:numFmt formatCode="_(* #,##0.00_);_(* \(#,##0.00\);_(* &quot;-&quot;??_);_(@_)" sourceLinked="1"/>
        <c:majorTickMark val="out"/>
        <c:minorTickMark val="none"/>
        <c:tickLblPos val="nextTo"/>
        <c:crossAx val="272602224"/>
        <c:crosses val="autoZero"/>
        <c:crossBetween val="between"/>
      </c:valAx>
    </c:plotArea>
    <c:legend>
      <c:legendPos val="r"/>
      <c:layout>
        <c:manualLayout>
          <c:xMode val="edge"/>
          <c:yMode val="edge"/>
          <c:x val="0.24900083297970985"/>
          <c:y val="0.10151168345434498"/>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07192529760444E-2"/>
          <c:y val="0.23271772159609452"/>
          <c:w val="0.97920776812746679"/>
          <c:h val="0.5999677531831531"/>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ARL'!$A$4:$A$14</c:f>
              <c:strCache>
                <c:ptCount val="11"/>
                <c:pt idx="0">
                  <c:v>2005</c:v>
                </c:pt>
                <c:pt idx="1">
                  <c:v>2006</c:v>
                </c:pt>
                <c:pt idx="2">
                  <c:v>2007</c:v>
                </c:pt>
                <c:pt idx="3">
                  <c:v>2008</c:v>
                </c:pt>
                <c:pt idx="4">
                  <c:v>2009</c:v>
                </c:pt>
                <c:pt idx="5">
                  <c:v>2010</c:v>
                </c:pt>
                <c:pt idx="6">
                  <c:v>2011</c:v>
                </c:pt>
                <c:pt idx="7">
                  <c:v>2012</c:v>
                </c:pt>
                <c:pt idx="8">
                  <c:v>2013</c:v>
                </c:pt>
                <c:pt idx="9">
                  <c:v>2014</c:v>
                </c:pt>
                <c:pt idx="10">
                  <c:v>Ene-Jun.15</c:v>
                </c:pt>
              </c:strCache>
            </c:strRef>
          </c:cat>
          <c:val>
            <c:numRef>
              <c:f>'V.4.2.NA. Reportes ARL'!$E$4:$E$14</c:f>
              <c:numCache>
                <c:formatCode>0.0%</c:formatCode>
                <c:ptCount val="11"/>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0.98568754151820759</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396135777528317E-2"/>
                  <c:y val="-2.3296075510101509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ARL'!$A$4:$A$14</c:f>
              <c:strCache>
                <c:ptCount val="11"/>
                <c:pt idx="0">
                  <c:v>2005</c:v>
                </c:pt>
                <c:pt idx="1">
                  <c:v>2006</c:v>
                </c:pt>
                <c:pt idx="2">
                  <c:v>2007</c:v>
                </c:pt>
                <c:pt idx="3">
                  <c:v>2008</c:v>
                </c:pt>
                <c:pt idx="4">
                  <c:v>2009</c:v>
                </c:pt>
                <c:pt idx="5">
                  <c:v>2010</c:v>
                </c:pt>
                <c:pt idx="6">
                  <c:v>2011</c:v>
                </c:pt>
                <c:pt idx="7">
                  <c:v>2012</c:v>
                </c:pt>
                <c:pt idx="8">
                  <c:v>2013</c:v>
                </c:pt>
                <c:pt idx="9">
                  <c:v>2014</c:v>
                </c:pt>
                <c:pt idx="10">
                  <c:v>Ene-Jun.15</c:v>
                </c:pt>
              </c:strCache>
            </c:strRef>
          </c:cat>
          <c:val>
            <c:numRef>
              <c:f>'V.4.2.NA. Reportes ARL'!$F$4:$F$14</c:f>
              <c:numCache>
                <c:formatCode>0.0%</c:formatCode>
                <c:ptCount val="11"/>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1.4312458481792379E-2</c:v>
                </c:pt>
              </c:numCache>
            </c:numRef>
          </c:val>
        </c:ser>
        <c:dLbls>
          <c:showLegendKey val="0"/>
          <c:showVal val="0"/>
          <c:showCatName val="0"/>
          <c:showSerName val="0"/>
          <c:showPercent val="0"/>
          <c:showBubbleSize val="0"/>
        </c:dLbls>
        <c:gapWidth val="33"/>
        <c:gapDepth val="109"/>
        <c:shape val="cylinder"/>
        <c:axId val="272603400"/>
        <c:axId val="272603792"/>
        <c:axId val="0"/>
      </c:bar3DChart>
      <c:catAx>
        <c:axId val="272603400"/>
        <c:scaling>
          <c:orientation val="minMax"/>
        </c:scaling>
        <c:delete val="0"/>
        <c:axPos val="b"/>
        <c:numFmt formatCode="General" sourceLinked="1"/>
        <c:majorTickMark val="none"/>
        <c:minorTickMark val="none"/>
        <c:tickLblPos val="nextTo"/>
        <c:txPr>
          <a:bodyPr/>
          <a:lstStyle/>
          <a:p>
            <a:pPr>
              <a:defRPr sz="1400"/>
            </a:pPr>
            <a:endParaRPr lang="es-ES"/>
          </a:p>
        </c:txPr>
        <c:crossAx val="272603792"/>
        <c:crosses val="autoZero"/>
        <c:auto val="1"/>
        <c:lblAlgn val="ctr"/>
        <c:lblOffset val="100"/>
        <c:noMultiLvlLbl val="0"/>
      </c:catAx>
      <c:valAx>
        <c:axId val="272603792"/>
        <c:scaling>
          <c:orientation val="minMax"/>
        </c:scaling>
        <c:delete val="1"/>
        <c:axPos val="l"/>
        <c:numFmt formatCode="0.0%" sourceLinked="1"/>
        <c:majorTickMark val="out"/>
        <c:minorTickMark val="none"/>
        <c:tickLblPos val="nextTo"/>
        <c:crossAx val="272603400"/>
        <c:crosses val="autoZero"/>
        <c:crossBetween val="between"/>
      </c:valAx>
      <c:spPr>
        <a:noFill/>
        <a:ln w="25400">
          <a:noFill/>
        </a:ln>
      </c:spPr>
    </c:plotArea>
    <c:legend>
      <c:legendPos val="t"/>
      <c:layout>
        <c:manualLayout>
          <c:xMode val="edge"/>
          <c:yMode val="edge"/>
          <c:x val="0.20389993772299911"/>
          <c:y val="8.3854418854730758E-2"/>
          <c:w val="0.55645139285037359"/>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7608868275614453"/>
          <c:y val="0.14659954945494255"/>
          <c:w val="0.75828163693151873"/>
          <c:h val="0.79344838393295869"/>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Ene-Jun.2015</c:v>
                </c:pt>
              </c:strCache>
            </c:strRef>
          </c:cat>
          <c:val>
            <c:numRef>
              <c:f>'V.4.3. NA.Cant. accid x región'!$B$4:$B$14</c:f>
              <c:numCache>
                <c:formatCode>_(* #,##0_);_(* \(#,##0\);_(* "-"??_);_(@_)</c:formatCode>
                <c:ptCount val="11"/>
                <c:pt idx="0">
                  <c:v>3726</c:v>
                </c:pt>
                <c:pt idx="1">
                  <c:v>5469</c:v>
                </c:pt>
                <c:pt idx="2">
                  <c:v>5248</c:v>
                </c:pt>
                <c:pt idx="3">
                  <c:v>5249</c:v>
                </c:pt>
                <c:pt idx="4">
                  <c:v>5951</c:v>
                </c:pt>
                <c:pt idx="5">
                  <c:v>6247</c:v>
                </c:pt>
                <c:pt idx="6">
                  <c:v>7512</c:v>
                </c:pt>
                <c:pt idx="7">
                  <c:v>8554</c:v>
                </c:pt>
                <c:pt idx="8">
                  <c:v>9093</c:v>
                </c:pt>
                <c:pt idx="9">
                  <c:v>10098</c:v>
                </c:pt>
                <c:pt idx="10">
                  <c:v>5316</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Ene-Jun.2015</c:v>
                </c:pt>
              </c:strCache>
            </c:strRef>
          </c:cat>
          <c:val>
            <c:numRef>
              <c:f>'V.4.3. NA.Cant. accid x región'!$C$4:$C$14</c:f>
              <c:numCache>
                <c:formatCode>_(* #,##0_);_(* \(#,##0\);_(* "-"??_);_(@_)</c:formatCode>
                <c:ptCount val="11"/>
                <c:pt idx="0">
                  <c:v>1</c:v>
                </c:pt>
                <c:pt idx="1">
                  <c:v>10</c:v>
                </c:pt>
                <c:pt idx="2">
                  <c:v>259</c:v>
                </c:pt>
                <c:pt idx="3">
                  <c:v>457</c:v>
                </c:pt>
                <c:pt idx="4">
                  <c:v>466</c:v>
                </c:pt>
                <c:pt idx="5">
                  <c:v>524</c:v>
                </c:pt>
                <c:pt idx="6">
                  <c:v>818</c:v>
                </c:pt>
                <c:pt idx="7">
                  <c:v>1073</c:v>
                </c:pt>
                <c:pt idx="8">
                  <c:v>1147</c:v>
                </c:pt>
                <c:pt idx="9">
                  <c:v>1346</c:v>
                </c:pt>
                <c:pt idx="10">
                  <c:v>673</c:v>
                </c:pt>
              </c:numCache>
            </c:numRef>
          </c:val>
        </c:ser>
        <c:ser>
          <c:idx val="2"/>
          <c:order val="2"/>
          <c:tx>
            <c:strRef>
              <c:f>'V.4.3. NA.Cant. accid x región'!$D$3</c:f>
              <c:strCache>
                <c:ptCount val="1"/>
                <c:pt idx="0">
                  <c:v>Región II</c:v>
                </c:pt>
              </c:strCache>
            </c:strRef>
          </c:tx>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Ene-Jun.2015</c:v>
                </c:pt>
              </c:strCache>
            </c:strRef>
          </c:cat>
          <c:val>
            <c:numRef>
              <c:f>'V.4.3. NA.Cant. accid x región'!$D$4:$D$14</c:f>
              <c:numCache>
                <c:formatCode>_(* #,##0_);_(* \(#,##0\);_(* "-"??_);_(@_)</c:formatCode>
                <c:ptCount val="11"/>
                <c:pt idx="0">
                  <c:v>1</c:v>
                </c:pt>
                <c:pt idx="1">
                  <c:v>17</c:v>
                </c:pt>
                <c:pt idx="2">
                  <c:v>1131</c:v>
                </c:pt>
                <c:pt idx="3">
                  <c:v>2480</c:v>
                </c:pt>
                <c:pt idx="4">
                  <c:v>3922</c:v>
                </c:pt>
                <c:pt idx="5">
                  <c:v>4790</c:v>
                </c:pt>
                <c:pt idx="6">
                  <c:v>6018</c:v>
                </c:pt>
                <c:pt idx="7">
                  <c:v>7266</c:v>
                </c:pt>
                <c:pt idx="8">
                  <c:v>8256</c:v>
                </c:pt>
                <c:pt idx="9">
                  <c:v>8494</c:v>
                </c:pt>
                <c:pt idx="10">
                  <c:v>4573</c:v>
                </c:pt>
              </c:numCache>
            </c:numRef>
          </c:val>
        </c:ser>
        <c:ser>
          <c:idx val="3"/>
          <c:order val="3"/>
          <c:tx>
            <c:strRef>
              <c:f>'V.4.3. NA.Cant. accid x región'!$E$3</c:f>
              <c:strCache>
                <c:ptCount val="1"/>
                <c:pt idx="0">
                  <c:v>Región III</c:v>
                </c:pt>
              </c:strCache>
            </c:strRef>
          </c:tx>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Ene-Jun.2015</c:v>
                </c:pt>
              </c:strCache>
            </c:strRef>
          </c:cat>
          <c:val>
            <c:numRef>
              <c:f>'V.4.3. NA.Cant. accid x región'!$E$4:$E$14</c:f>
              <c:numCache>
                <c:formatCode>_(* #,##0_);_(* \(#,##0\);_(* "-"??_);_(@_)</c:formatCode>
                <c:ptCount val="11"/>
                <c:pt idx="0">
                  <c:v>0</c:v>
                </c:pt>
                <c:pt idx="1">
                  <c:v>2</c:v>
                </c:pt>
                <c:pt idx="2">
                  <c:v>112</c:v>
                </c:pt>
                <c:pt idx="3">
                  <c:v>167</c:v>
                </c:pt>
                <c:pt idx="4">
                  <c:v>308</c:v>
                </c:pt>
                <c:pt idx="5">
                  <c:v>428</c:v>
                </c:pt>
                <c:pt idx="6">
                  <c:v>681</c:v>
                </c:pt>
                <c:pt idx="7">
                  <c:v>925</c:v>
                </c:pt>
                <c:pt idx="8">
                  <c:v>933</c:v>
                </c:pt>
                <c:pt idx="9">
                  <c:v>1003</c:v>
                </c:pt>
                <c:pt idx="10">
                  <c:v>624</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Ene-Jun.2015</c:v>
                </c:pt>
              </c:strCache>
            </c:strRef>
          </c:cat>
          <c:val>
            <c:numRef>
              <c:f>'V.4.3. NA.Cant. accid x región'!$F$4:$F$14</c:f>
              <c:numCache>
                <c:formatCode>_(* #,##0_);_(* \(#,##0\);_(* "-"??_);_(@_)</c:formatCode>
                <c:ptCount val="11"/>
                <c:pt idx="0">
                  <c:v>1</c:v>
                </c:pt>
                <c:pt idx="1">
                  <c:v>1</c:v>
                </c:pt>
                <c:pt idx="2">
                  <c:v>54</c:v>
                </c:pt>
                <c:pt idx="3">
                  <c:v>61</c:v>
                </c:pt>
                <c:pt idx="4">
                  <c:v>128</c:v>
                </c:pt>
                <c:pt idx="5">
                  <c:v>239</c:v>
                </c:pt>
                <c:pt idx="6">
                  <c:v>471</c:v>
                </c:pt>
                <c:pt idx="7">
                  <c:v>535</c:v>
                </c:pt>
                <c:pt idx="8">
                  <c:v>584</c:v>
                </c:pt>
                <c:pt idx="9">
                  <c:v>627</c:v>
                </c:pt>
                <c:pt idx="10">
                  <c:v>237</c:v>
                </c:pt>
              </c:numCache>
            </c:numRef>
          </c:val>
        </c:ser>
        <c:ser>
          <c:idx val="5"/>
          <c:order val="5"/>
          <c:tx>
            <c:strRef>
              <c:f>'V.4.3. NA.Cant. accid x región'!$G$3</c:f>
              <c:strCache>
                <c:ptCount val="1"/>
                <c:pt idx="0">
                  <c:v>Región V</c:v>
                </c:pt>
              </c:strCache>
            </c:strRef>
          </c:tx>
          <c:spPr>
            <a:solidFill>
              <a:schemeClr val="accent5"/>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Ene-Jun.2015</c:v>
                </c:pt>
              </c:strCache>
            </c:strRef>
          </c:cat>
          <c:val>
            <c:numRef>
              <c:f>'V.4.3. NA.Cant. accid x región'!$G$4:$G$14</c:f>
              <c:numCache>
                <c:formatCode>_(* #,##0_);_(* \(#,##0\);_(* "-"??_);_(@_)</c:formatCode>
                <c:ptCount val="11"/>
                <c:pt idx="0">
                  <c:v>2</c:v>
                </c:pt>
                <c:pt idx="1">
                  <c:v>23</c:v>
                </c:pt>
                <c:pt idx="2">
                  <c:v>1402</c:v>
                </c:pt>
                <c:pt idx="3">
                  <c:v>2135</c:v>
                </c:pt>
                <c:pt idx="4">
                  <c:v>2899</c:v>
                </c:pt>
                <c:pt idx="5">
                  <c:v>3860</c:v>
                </c:pt>
                <c:pt idx="6">
                  <c:v>5158</c:v>
                </c:pt>
                <c:pt idx="7">
                  <c:v>5902</c:v>
                </c:pt>
                <c:pt idx="8">
                  <c:v>5913</c:v>
                </c:pt>
                <c:pt idx="9">
                  <c:v>6354</c:v>
                </c:pt>
                <c:pt idx="10">
                  <c:v>3485</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Ene-Jun.2015</c:v>
                </c:pt>
              </c:strCache>
            </c:strRef>
          </c:cat>
          <c:val>
            <c:numRef>
              <c:f>'V.4.3. NA.Cant. accid x región'!$H$4:$H$14</c:f>
              <c:numCache>
                <c:formatCode>_(* #,##0_);_(* \(#,##0\);_(* "-"??_);_(@_)</c:formatCode>
                <c:ptCount val="11"/>
                <c:pt idx="0">
                  <c:v>0</c:v>
                </c:pt>
                <c:pt idx="1">
                  <c:v>5</c:v>
                </c:pt>
                <c:pt idx="2">
                  <c:v>67</c:v>
                </c:pt>
                <c:pt idx="3">
                  <c:v>47</c:v>
                </c:pt>
                <c:pt idx="4">
                  <c:v>159</c:v>
                </c:pt>
                <c:pt idx="5">
                  <c:v>234</c:v>
                </c:pt>
                <c:pt idx="6">
                  <c:v>364</c:v>
                </c:pt>
                <c:pt idx="7">
                  <c:v>474</c:v>
                </c:pt>
                <c:pt idx="8">
                  <c:v>417</c:v>
                </c:pt>
                <c:pt idx="9">
                  <c:v>518</c:v>
                </c:pt>
                <c:pt idx="10">
                  <c:v>278</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5.7205402549818499E-2"/>
                  <c:y val="-7.8496198265326726E-3"/>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Ene-Jun.2015</c:v>
                </c:pt>
              </c:strCache>
            </c:strRef>
          </c:cat>
          <c:val>
            <c:numRef>
              <c:f>'V.4.3. NA.Cant. accid x región'!$I$4:$I$14</c:f>
              <c:numCache>
                <c:formatCode>_(* #,##0_);_(* \(#,##0\);_(* "-"??_);_(@_)</c:formatCode>
                <c:ptCount val="11"/>
                <c:pt idx="0">
                  <c:v>0</c:v>
                </c:pt>
                <c:pt idx="1">
                  <c:v>8</c:v>
                </c:pt>
                <c:pt idx="2">
                  <c:v>271</c:v>
                </c:pt>
                <c:pt idx="3">
                  <c:v>381</c:v>
                </c:pt>
                <c:pt idx="4">
                  <c:v>850</c:v>
                </c:pt>
                <c:pt idx="5">
                  <c:v>1134</c:v>
                </c:pt>
                <c:pt idx="6">
                  <c:v>1575</c:v>
                </c:pt>
                <c:pt idx="7">
                  <c:v>1959</c:v>
                </c:pt>
                <c:pt idx="8">
                  <c:v>2292</c:v>
                </c:pt>
                <c:pt idx="9">
                  <c:v>2592</c:v>
                </c:pt>
                <c:pt idx="10">
                  <c:v>1373</c:v>
                </c:pt>
              </c:numCache>
            </c:numRef>
          </c:val>
        </c:ser>
        <c:ser>
          <c:idx val="8"/>
          <c:order val="8"/>
          <c:tx>
            <c:strRef>
              <c:f>'V.4.3. NA.Cant. accid x región'!$J$3</c:f>
              <c:strCache>
                <c:ptCount val="1"/>
                <c:pt idx="0">
                  <c:v>Región VIII</c:v>
                </c:pt>
              </c:strCache>
            </c:strRef>
          </c:tx>
          <c:invertIfNegative val="0"/>
          <c:dLbls>
            <c:dLbl>
              <c:idx val="0"/>
              <c:layout>
                <c:manualLayout>
                  <c:x val="2.3906694248317657E-2"/>
                  <c:y val="-4.3788451887663404E-3"/>
                </c:manualLayout>
              </c:layout>
              <c:tx>
                <c:rich>
                  <a:bodyPr/>
                  <a:lstStyle/>
                  <a:p>
                    <a:r>
                      <a:rPr lang="en-US" sz="1600"/>
                      <a:t>2,647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2.373946527980875E-2"/>
                  <c:y val="-4.0686020170059055E-3"/>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2.30669881855033E-2"/>
                  <c:y val="-3.8515953696244032E-4"/>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2.2281854152389279E-2"/>
                  <c:y val="-4.186374468851695E-3"/>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2.6908746285950042E-2"/>
                  <c:y val="-3.2123526726604121E-3"/>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2.6737217708668642E-2"/>
                  <c:y val="-1.9075865742023076E-3"/>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6444816227566753E-2"/>
                  <c:y val="-5.4045560054899414E-3"/>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2.1867744588407328E-2"/>
                  <c:y val="-4.4534237790981018E-3"/>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0.28132871296642536"/>
                  <c:y val="-7.4728072427048348E-2"/>
                </c:manualLayout>
              </c:layout>
              <c:tx>
                <c:rich>
                  <a:bodyPr/>
                  <a:lstStyle/>
                  <a:p>
                    <a:r>
                      <a:rPr lang="en-US" sz="1600"/>
                      <a:t> 10,755</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0"/>
              <c:layout>
                <c:manualLayout>
                  <c:x val="0.3398417117763875"/>
                  <c:y val="5.6609177426187852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Ene-Jun.2015</c:v>
                </c:pt>
              </c:strCache>
            </c:strRef>
          </c:cat>
          <c:val>
            <c:numRef>
              <c:f>'V.4.3. NA.Cant. accid x región'!$J$4:$J$14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75"/>
        <c:shape val="box"/>
        <c:axId val="272604576"/>
        <c:axId val="272604968"/>
        <c:axId val="0"/>
      </c:bar3DChart>
      <c:catAx>
        <c:axId val="272604576"/>
        <c:scaling>
          <c:orientation val="minMax"/>
        </c:scaling>
        <c:delete val="0"/>
        <c:axPos val="l"/>
        <c:numFmt formatCode="General" sourceLinked="1"/>
        <c:majorTickMark val="none"/>
        <c:minorTickMark val="none"/>
        <c:tickLblPos val="nextTo"/>
        <c:txPr>
          <a:bodyPr/>
          <a:lstStyle/>
          <a:p>
            <a:pPr>
              <a:defRPr sz="1600"/>
            </a:pPr>
            <a:endParaRPr lang="es-ES"/>
          </a:p>
        </c:txPr>
        <c:crossAx val="272604968"/>
        <c:crosses val="autoZero"/>
        <c:auto val="1"/>
        <c:lblAlgn val="ctr"/>
        <c:lblOffset val="100"/>
        <c:noMultiLvlLbl val="0"/>
      </c:catAx>
      <c:valAx>
        <c:axId val="272604968"/>
        <c:scaling>
          <c:orientation val="minMax"/>
        </c:scaling>
        <c:delete val="1"/>
        <c:axPos val="b"/>
        <c:numFmt formatCode="_(* #,##0_);_(* \(#,##0\);_(* &quot;-&quot;??_);_(@_)" sourceLinked="1"/>
        <c:majorTickMark val="out"/>
        <c:minorTickMark val="none"/>
        <c:tickLblPos val="nextTo"/>
        <c:crossAx val="272604576"/>
        <c:crosses val="autoZero"/>
        <c:crossBetween val="between"/>
      </c:valAx>
      <c:spPr>
        <a:noFill/>
        <a:ln w="25400">
          <a:noFill/>
        </a:ln>
      </c:spPr>
    </c:plotArea>
    <c:legend>
      <c:legendPos val="t"/>
      <c:layout>
        <c:manualLayout>
          <c:xMode val="edge"/>
          <c:yMode val="edge"/>
          <c:x val="2.362818207720498E-2"/>
          <c:y val="4.0226365729548769E-2"/>
          <c:w val="0.95164950689753947"/>
          <c:h val="4.8455177820930083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312598807870132E-2"/>
          <c:y val="9.3211838239133857E-2"/>
          <c:w val="0.98163333062613722"/>
          <c:h val="0.66325994781923525"/>
        </c:manualLayout>
      </c:layout>
      <c:bar3DChart>
        <c:barDir val="col"/>
        <c:grouping val="clustered"/>
        <c:varyColors val="0"/>
        <c:ser>
          <c:idx val="1"/>
          <c:order val="0"/>
          <c:tx>
            <c:strRef>
              <c:f>'V.4.4.NA.Cant. accid x Prov'!$N$3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Prov'!$A$4:$A$35</c:f>
              <c:strCache>
                <c:ptCount val="32"/>
                <c:pt idx="0">
                  <c:v>Distrito Nacional</c:v>
                </c:pt>
                <c:pt idx="1">
                  <c:v>Santiago de los Caballeros</c:v>
                </c:pt>
                <c:pt idx="2">
                  <c:v>Altagracia</c:v>
                </c:pt>
                <c:pt idx="3">
                  <c:v>La Romana</c:v>
                </c:pt>
                <c:pt idx="4">
                  <c:v>Santo Domingo</c:v>
                </c:pt>
                <c:pt idx="5">
                  <c:v>Puerto Plata </c:v>
                </c:pt>
                <c:pt idx="6">
                  <c:v>San Cristóbal</c:v>
                </c:pt>
                <c:pt idx="7">
                  <c:v>San Pedro de Macorís</c:v>
                </c:pt>
                <c:pt idx="8">
                  <c:v>La Vega</c:v>
                </c:pt>
                <c:pt idx="9">
                  <c:v>Valverde</c:v>
                </c:pt>
                <c:pt idx="10">
                  <c:v>Duarte</c:v>
                </c:pt>
                <c:pt idx="11">
                  <c:v>Espaillat</c:v>
                </c:pt>
                <c:pt idx="12">
                  <c:v>Monseñor Nouel</c:v>
                </c:pt>
                <c:pt idx="13">
                  <c:v>Peravia</c:v>
                </c:pt>
                <c:pt idx="14">
                  <c:v>Monte Plata</c:v>
                </c:pt>
                <c:pt idx="15">
                  <c:v>Montecristi</c:v>
                </c:pt>
                <c:pt idx="16">
                  <c:v>María Trinidad Sánchez</c:v>
                </c:pt>
                <c:pt idx="17">
                  <c:v>San Juan de la  Maguana</c:v>
                </c:pt>
                <c:pt idx="18">
                  <c:v>Sánchez Ramírez</c:v>
                </c:pt>
                <c:pt idx="19">
                  <c:v>Hato Mayor</c:v>
                </c:pt>
                <c:pt idx="20">
                  <c:v>Azua</c:v>
                </c:pt>
                <c:pt idx="21">
                  <c:v>Samaná</c:v>
                </c:pt>
                <c:pt idx="22">
                  <c:v>Santiago Rodríguez</c:v>
                </c:pt>
                <c:pt idx="23">
                  <c:v>Salcedo</c:v>
                </c:pt>
                <c:pt idx="24">
                  <c:v>Barahona</c:v>
                </c:pt>
                <c:pt idx="25">
                  <c:v>Independencia</c:v>
                </c:pt>
                <c:pt idx="26">
                  <c:v>Dajabón</c:v>
                </c:pt>
                <c:pt idx="27">
                  <c:v>Bahoruco</c:v>
                </c:pt>
                <c:pt idx="28">
                  <c:v>Elías Piña</c:v>
                </c:pt>
                <c:pt idx="29">
                  <c:v>El Seybo</c:v>
                </c:pt>
                <c:pt idx="30">
                  <c:v>Pedernales</c:v>
                </c:pt>
                <c:pt idx="31">
                  <c:v>San José de Ocoa</c:v>
                </c:pt>
              </c:strCache>
            </c:strRef>
          </c:cat>
          <c:val>
            <c:numRef>
              <c:f>'V.4.4.NA.Cant. accid x Prov'!$N$4:$N$35</c:f>
              <c:numCache>
                <c:formatCode>_(* #,##0_);_(* \(#,##0\);_(* "-"??_);_(@_)</c:formatCode>
                <c:ptCount val="32"/>
                <c:pt idx="0">
                  <c:v>63386</c:v>
                </c:pt>
                <c:pt idx="1">
                  <c:v>37268</c:v>
                </c:pt>
                <c:pt idx="2">
                  <c:v>19329</c:v>
                </c:pt>
                <c:pt idx="3">
                  <c:v>11351</c:v>
                </c:pt>
                <c:pt idx="4">
                  <c:v>8478</c:v>
                </c:pt>
                <c:pt idx="5">
                  <c:v>7155</c:v>
                </c:pt>
                <c:pt idx="6">
                  <c:v>5358</c:v>
                </c:pt>
                <c:pt idx="7">
                  <c:v>5166</c:v>
                </c:pt>
                <c:pt idx="8">
                  <c:v>4042</c:v>
                </c:pt>
                <c:pt idx="9">
                  <c:v>2519</c:v>
                </c:pt>
                <c:pt idx="10">
                  <c:v>2481</c:v>
                </c:pt>
                <c:pt idx="11">
                  <c:v>2525</c:v>
                </c:pt>
                <c:pt idx="12">
                  <c:v>2262</c:v>
                </c:pt>
                <c:pt idx="13">
                  <c:v>1406</c:v>
                </c:pt>
                <c:pt idx="14">
                  <c:v>591</c:v>
                </c:pt>
                <c:pt idx="15">
                  <c:v>986</c:v>
                </c:pt>
                <c:pt idx="16">
                  <c:v>1276</c:v>
                </c:pt>
                <c:pt idx="17">
                  <c:v>1250</c:v>
                </c:pt>
                <c:pt idx="18">
                  <c:v>1155</c:v>
                </c:pt>
                <c:pt idx="19">
                  <c:v>1052</c:v>
                </c:pt>
                <c:pt idx="20">
                  <c:v>916</c:v>
                </c:pt>
                <c:pt idx="21">
                  <c:v>704</c:v>
                </c:pt>
                <c:pt idx="22">
                  <c:v>824</c:v>
                </c:pt>
                <c:pt idx="23">
                  <c:v>723</c:v>
                </c:pt>
                <c:pt idx="24">
                  <c:v>1604</c:v>
                </c:pt>
                <c:pt idx="25">
                  <c:v>329</c:v>
                </c:pt>
                <c:pt idx="26">
                  <c:v>648</c:v>
                </c:pt>
                <c:pt idx="27">
                  <c:v>294</c:v>
                </c:pt>
                <c:pt idx="28">
                  <c:v>399</c:v>
                </c:pt>
                <c:pt idx="29">
                  <c:v>237</c:v>
                </c:pt>
                <c:pt idx="30">
                  <c:v>711</c:v>
                </c:pt>
                <c:pt idx="31">
                  <c:v>12</c:v>
                </c:pt>
              </c:numCache>
            </c:numRef>
          </c:val>
        </c:ser>
        <c:dLbls>
          <c:showLegendKey val="0"/>
          <c:showVal val="0"/>
          <c:showCatName val="0"/>
          <c:showSerName val="0"/>
          <c:showPercent val="0"/>
          <c:showBubbleSize val="0"/>
        </c:dLbls>
        <c:gapWidth val="14"/>
        <c:shape val="cylinder"/>
        <c:axId val="272598696"/>
        <c:axId val="272598304"/>
        <c:axId val="0"/>
      </c:bar3DChart>
      <c:catAx>
        <c:axId val="272598696"/>
        <c:scaling>
          <c:orientation val="minMax"/>
        </c:scaling>
        <c:delete val="0"/>
        <c:axPos val="b"/>
        <c:numFmt formatCode="General" sourceLinked="1"/>
        <c:majorTickMark val="none"/>
        <c:minorTickMark val="none"/>
        <c:tickLblPos val="nextTo"/>
        <c:crossAx val="272598304"/>
        <c:crosses val="autoZero"/>
        <c:auto val="1"/>
        <c:lblAlgn val="ctr"/>
        <c:lblOffset val="100"/>
        <c:noMultiLvlLbl val="0"/>
      </c:catAx>
      <c:valAx>
        <c:axId val="272598304"/>
        <c:scaling>
          <c:orientation val="minMax"/>
        </c:scaling>
        <c:delete val="1"/>
        <c:axPos val="l"/>
        <c:numFmt formatCode="_(* #,##0_);_(* \(#,##0\);_(* &quot;-&quot;??_);_(@_)" sourceLinked="1"/>
        <c:majorTickMark val="out"/>
        <c:minorTickMark val="none"/>
        <c:tickLblPos val="nextTo"/>
        <c:crossAx val="272598696"/>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04729611632316E-4"/>
          <c:y val="0.18996085130282708"/>
          <c:w val="0.9859363815899691"/>
          <c:h val="0.63812149422948194"/>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Jun.2015</c:v>
                </c:pt>
              </c:strCache>
            </c:strRef>
          </c:cat>
          <c:val>
            <c:numRef>
              <c:f>'V.4.5.NA.Cant. accid x Proced.'!$F$4:$F$14</c:f>
              <c:numCache>
                <c:formatCode>0.0%</c:formatCode>
                <c:ptCount val="11"/>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0.15345129536807778</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Jun.2015</c:v>
                </c:pt>
              </c:strCache>
            </c:strRef>
          </c:cat>
          <c:val>
            <c:numRef>
              <c:f>'V.4.5.NA.Cant. accid x Proced.'!$G$4:$G$14</c:f>
              <c:numCache>
                <c:formatCode>0.0%</c:formatCode>
                <c:ptCount val="11"/>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0.84648831451174589</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Jun.2015</c:v>
                </c:pt>
              </c:strCache>
            </c:strRef>
          </c:cat>
          <c:val>
            <c:numRef>
              <c:f>'V.4.5.NA.Cant. accid x Proced.'!$H$4:$H$14</c:f>
              <c:numCache>
                <c:formatCode>0.0%</c:formatCode>
                <c:ptCount val="11"/>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6.0390120176339152E-5</c:v>
                </c:pt>
              </c:numCache>
            </c:numRef>
          </c:val>
        </c:ser>
        <c:dLbls>
          <c:showLegendKey val="0"/>
          <c:showVal val="0"/>
          <c:showCatName val="0"/>
          <c:showSerName val="0"/>
          <c:showPercent val="0"/>
          <c:showBubbleSize val="0"/>
        </c:dLbls>
        <c:gapWidth val="75"/>
        <c:shape val="cylinder"/>
        <c:axId val="272605752"/>
        <c:axId val="230503392"/>
        <c:axId val="0"/>
      </c:bar3DChart>
      <c:catAx>
        <c:axId val="272605752"/>
        <c:scaling>
          <c:orientation val="minMax"/>
        </c:scaling>
        <c:delete val="0"/>
        <c:axPos val="b"/>
        <c:numFmt formatCode="General" sourceLinked="1"/>
        <c:majorTickMark val="none"/>
        <c:minorTickMark val="none"/>
        <c:tickLblPos val="nextTo"/>
        <c:txPr>
          <a:bodyPr/>
          <a:lstStyle/>
          <a:p>
            <a:pPr>
              <a:defRPr sz="1200"/>
            </a:pPr>
            <a:endParaRPr lang="es-ES"/>
          </a:p>
        </c:txPr>
        <c:crossAx val="230503392"/>
        <c:crosses val="autoZero"/>
        <c:auto val="1"/>
        <c:lblAlgn val="ctr"/>
        <c:lblOffset val="100"/>
        <c:noMultiLvlLbl val="0"/>
      </c:catAx>
      <c:valAx>
        <c:axId val="230503392"/>
        <c:scaling>
          <c:orientation val="minMax"/>
        </c:scaling>
        <c:delete val="1"/>
        <c:axPos val="l"/>
        <c:numFmt formatCode="0.0%" sourceLinked="1"/>
        <c:majorTickMark val="out"/>
        <c:minorTickMark val="none"/>
        <c:tickLblPos val="nextTo"/>
        <c:crossAx val="272605752"/>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23418397071991914"/>
          <c:w val="0.94766140242571251"/>
          <c:h val="0.62660879143330783"/>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sector'!$A$4:$A$14</c:f>
              <c:strCache>
                <c:ptCount val="11"/>
                <c:pt idx="0">
                  <c:v>2005</c:v>
                </c:pt>
                <c:pt idx="1">
                  <c:v>2006</c:v>
                </c:pt>
                <c:pt idx="2">
                  <c:v>2007</c:v>
                </c:pt>
                <c:pt idx="3">
                  <c:v>2008</c:v>
                </c:pt>
                <c:pt idx="4">
                  <c:v>2009</c:v>
                </c:pt>
                <c:pt idx="5">
                  <c:v>2010</c:v>
                </c:pt>
                <c:pt idx="6">
                  <c:v>2011</c:v>
                </c:pt>
                <c:pt idx="7">
                  <c:v>2012</c:v>
                </c:pt>
                <c:pt idx="8">
                  <c:v>2013</c:v>
                </c:pt>
                <c:pt idx="9">
                  <c:v>2014</c:v>
                </c:pt>
                <c:pt idx="10">
                  <c:v>Ene-Jun.2015</c:v>
                </c:pt>
              </c:strCache>
            </c:strRef>
          </c:cat>
          <c:val>
            <c:numRef>
              <c:f>'V.4.6. NA.Cant. accid x sector'!$B$4:$B$14</c:f>
              <c:numCache>
                <c:formatCode>_(* #,##0_);_(* \(#,##0\);_(* "-"??_);_(@_)</c:formatCode>
                <c:ptCount val="11"/>
                <c:pt idx="0">
                  <c:v>90</c:v>
                </c:pt>
                <c:pt idx="1">
                  <c:v>253</c:v>
                </c:pt>
                <c:pt idx="2">
                  <c:v>445</c:v>
                </c:pt>
                <c:pt idx="3">
                  <c:v>660</c:v>
                </c:pt>
                <c:pt idx="4">
                  <c:v>986</c:v>
                </c:pt>
                <c:pt idx="5">
                  <c:v>1477</c:v>
                </c:pt>
                <c:pt idx="6">
                  <c:v>2094</c:v>
                </c:pt>
                <c:pt idx="7">
                  <c:v>3858</c:v>
                </c:pt>
                <c:pt idx="8">
                  <c:v>4451</c:v>
                </c:pt>
                <c:pt idx="9">
                  <c:v>5112</c:v>
                </c:pt>
                <c:pt idx="10">
                  <c:v>2696</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sector'!$A$4:$A$14</c:f>
              <c:strCache>
                <c:ptCount val="11"/>
                <c:pt idx="0">
                  <c:v>2005</c:v>
                </c:pt>
                <c:pt idx="1">
                  <c:v>2006</c:v>
                </c:pt>
                <c:pt idx="2">
                  <c:v>2007</c:v>
                </c:pt>
                <c:pt idx="3">
                  <c:v>2008</c:v>
                </c:pt>
                <c:pt idx="4">
                  <c:v>2009</c:v>
                </c:pt>
                <c:pt idx="5">
                  <c:v>2010</c:v>
                </c:pt>
                <c:pt idx="6">
                  <c:v>2011</c:v>
                </c:pt>
                <c:pt idx="7">
                  <c:v>2012</c:v>
                </c:pt>
                <c:pt idx="8">
                  <c:v>2013</c:v>
                </c:pt>
                <c:pt idx="9">
                  <c:v>2014</c:v>
                </c:pt>
                <c:pt idx="10">
                  <c:v>Ene-Jun.2015</c:v>
                </c:pt>
              </c:strCache>
            </c:strRef>
          </c:cat>
          <c:val>
            <c:numRef>
              <c:f>'V.4.6. NA.Cant. accid x sector'!$C$4:$C$14</c:f>
              <c:numCache>
                <c:formatCode>_(* #,##0_);_(* \(#,##0\);_(* "-"??_);_(@_)</c:formatCode>
                <c:ptCount val="11"/>
                <c:pt idx="0">
                  <c:v>3641</c:v>
                </c:pt>
                <c:pt idx="1">
                  <c:v>5282</c:v>
                </c:pt>
                <c:pt idx="2">
                  <c:v>8099</c:v>
                </c:pt>
                <c:pt idx="3">
                  <c:v>10317</c:v>
                </c:pt>
                <c:pt idx="4">
                  <c:v>13697</c:v>
                </c:pt>
                <c:pt idx="5">
                  <c:v>15979</c:v>
                </c:pt>
                <c:pt idx="6">
                  <c:v>20503</c:v>
                </c:pt>
                <c:pt idx="7">
                  <c:v>22830</c:v>
                </c:pt>
                <c:pt idx="8">
                  <c:v>24184</c:v>
                </c:pt>
                <c:pt idx="9">
                  <c:v>25920</c:v>
                </c:pt>
                <c:pt idx="10">
                  <c:v>13863</c:v>
                </c:pt>
              </c:numCache>
            </c:numRef>
          </c:val>
        </c:ser>
        <c:dLbls>
          <c:showLegendKey val="0"/>
          <c:showVal val="0"/>
          <c:showCatName val="0"/>
          <c:showSerName val="0"/>
          <c:showPercent val="0"/>
          <c:showBubbleSize val="0"/>
        </c:dLbls>
        <c:gapWidth val="37"/>
        <c:shape val="cylinder"/>
        <c:axId val="230504176"/>
        <c:axId val="230504568"/>
        <c:axId val="0"/>
      </c:bar3DChart>
      <c:catAx>
        <c:axId val="230504176"/>
        <c:scaling>
          <c:orientation val="minMax"/>
        </c:scaling>
        <c:delete val="0"/>
        <c:axPos val="b"/>
        <c:numFmt formatCode="General" sourceLinked="1"/>
        <c:majorTickMark val="none"/>
        <c:minorTickMark val="none"/>
        <c:tickLblPos val="nextTo"/>
        <c:txPr>
          <a:bodyPr/>
          <a:lstStyle/>
          <a:p>
            <a:pPr>
              <a:defRPr sz="1100"/>
            </a:pPr>
            <a:endParaRPr lang="es-ES"/>
          </a:p>
        </c:txPr>
        <c:crossAx val="230504568"/>
        <c:crosses val="autoZero"/>
        <c:auto val="1"/>
        <c:lblAlgn val="ctr"/>
        <c:lblOffset val="100"/>
        <c:noMultiLvlLbl val="0"/>
      </c:catAx>
      <c:valAx>
        <c:axId val="230504568"/>
        <c:scaling>
          <c:orientation val="minMax"/>
        </c:scaling>
        <c:delete val="1"/>
        <c:axPos val="l"/>
        <c:numFmt formatCode="_(* #,##0_);_(* \(#,##0\);_(* &quot;-&quot;??_);_(@_)" sourceLinked="1"/>
        <c:majorTickMark val="out"/>
        <c:minorTickMark val="none"/>
        <c:tickLblPos val="nextTo"/>
        <c:crossAx val="230504176"/>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1966854515516789E-3"/>
          <c:y val="0.26734866421326459"/>
          <c:w val="0.979767763490758"/>
          <c:h val="0.57051443799769441"/>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0688532242897316E-2"/>
                  <c:y val="-1.7471884679970108E-7"/>
                </c:manualLayout>
              </c:layout>
              <c:spPr/>
              <c:txPr>
                <a:bodyPr/>
                <a:lstStyle/>
                <a:p>
                  <a:pPr>
                    <a:defRPr sz="16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717762636360057E-3"/>
                  <c:y val="4.6375702345405499E-3"/>
                </c:manualLayout>
              </c:layou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sexo'!$A$4:$A$14</c:f>
              <c:strCache>
                <c:ptCount val="11"/>
                <c:pt idx="0">
                  <c:v>2005</c:v>
                </c:pt>
                <c:pt idx="1">
                  <c:v>2006</c:v>
                </c:pt>
                <c:pt idx="2">
                  <c:v>2007</c:v>
                </c:pt>
                <c:pt idx="3">
                  <c:v>2008</c:v>
                </c:pt>
                <c:pt idx="4">
                  <c:v>2009</c:v>
                </c:pt>
                <c:pt idx="5">
                  <c:v>2010</c:v>
                </c:pt>
                <c:pt idx="6">
                  <c:v>2011</c:v>
                </c:pt>
                <c:pt idx="7">
                  <c:v>2012</c:v>
                </c:pt>
                <c:pt idx="8">
                  <c:v>2013</c:v>
                </c:pt>
                <c:pt idx="9">
                  <c:v>2014</c:v>
                </c:pt>
                <c:pt idx="10">
                  <c:v>Ene-Jun.2015</c:v>
                </c:pt>
              </c:strCache>
            </c:strRef>
          </c:cat>
          <c:val>
            <c:numRef>
              <c:f>'V.4.7. Accid x sexo'!$E$4:$E$14</c:f>
              <c:numCache>
                <c:formatCode>0.0%</c:formatCode>
                <c:ptCount val="11"/>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0.28721541155866898</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6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Lst>
            </c:dLbl>
            <c:dLbl>
              <c:idx val="10"/>
              <c:spPr/>
              <c:txPr>
                <a:bodyPr/>
                <a:lstStyle/>
                <a:p>
                  <a:pPr>
                    <a:defRPr sz="1600" b="1"/>
                  </a:pPr>
                  <a:endParaRPr lang="es-ES"/>
                </a:p>
              </c:txPr>
              <c:showLegendKey val="0"/>
              <c:showVal val="1"/>
              <c:showCatName val="0"/>
              <c:showSerName val="0"/>
              <c:showPercent val="0"/>
              <c:showBubbleSize val="0"/>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sexo'!$A$4:$A$14</c:f>
              <c:strCache>
                <c:ptCount val="11"/>
                <c:pt idx="0">
                  <c:v>2005</c:v>
                </c:pt>
                <c:pt idx="1">
                  <c:v>2006</c:v>
                </c:pt>
                <c:pt idx="2">
                  <c:v>2007</c:v>
                </c:pt>
                <c:pt idx="3">
                  <c:v>2008</c:v>
                </c:pt>
                <c:pt idx="4">
                  <c:v>2009</c:v>
                </c:pt>
                <c:pt idx="5">
                  <c:v>2010</c:v>
                </c:pt>
                <c:pt idx="6">
                  <c:v>2011</c:v>
                </c:pt>
                <c:pt idx="7">
                  <c:v>2012</c:v>
                </c:pt>
                <c:pt idx="8">
                  <c:v>2013</c:v>
                </c:pt>
                <c:pt idx="9">
                  <c:v>2014</c:v>
                </c:pt>
                <c:pt idx="10">
                  <c:v>Ene-Jun.2015</c:v>
                </c:pt>
              </c:strCache>
            </c:strRef>
          </c:cat>
          <c:val>
            <c:numRef>
              <c:f>'V.4.7. Accid x sexo'!$F$4:$F$14</c:f>
              <c:numCache>
                <c:formatCode>0.0%</c:formatCode>
                <c:ptCount val="11"/>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0.71278458844133097</c:v>
                </c:pt>
              </c:numCache>
            </c:numRef>
          </c:val>
        </c:ser>
        <c:dLbls>
          <c:showLegendKey val="0"/>
          <c:showVal val="0"/>
          <c:showCatName val="0"/>
          <c:showSerName val="0"/>
          <c:showPercent val="0"/>
          <c:showBubbleSize val="0"/>
        </c:dLbls>
        <c:gapWidth val="56"/>
        <c:shape val="cylinder"/>
        <c:axId val="230505352"/>
        <c:axId val="230505744"/>
        <c:axId val="0"/>
      </c:bar3DChart>
      <c:catAx>
        <c:axId val="230505352"/>
        <c:scaling>
          <c:orientation val="minMax"/>
        </c:scaling>
        <c:delete val="0"/>
        <c:axPos val="b"/>
        <c:numFmt formatCode="General" sourceLinked="1"/>
        <c:majorTickMark val="none"/>
        <c:minorTickMark val="none"/>
        <c:tickLblPos val="nextTo"/>
        <c:txPr>
          <a:bodyPr/>
          <a:lstStyle/>
          <a:p>
            <a:pPr>
              <a:defRPr sz="1200"/>
            </a:pPr>
            <a:endParaRPr lang="es-ES"/>
          </a:p>
        </c:txPr>
        <c:crossAx val="230505744"/>
        <c:crosses val="autoZero"/>
        <c:auto val="1"/>
        <c:lblAlgn val="ctr"/>
        <c:lblOffset val="100"/>
        <c:noMultiLvlLbl val="0"/>
      </c:catAx>
      <c:valAx>
        <c:axId val="230505744"/>
        <c:scaling>
          <c:orientation val="minMax"/>
        </c:scaling>
        <c:delete val="1"/>
        <c:axPos val="l"/>
        <c:numFmt formatCode="0.0%" sourceLinked="1"/>
        <c:majorTickMark val="out"/>
        <c:minorTickMark val="none"/>
        <c:tickLblPos val="nextTo"/>
        <c:crossAx val="230505352"/>
        <c:crosses val="autoZero"/>
        <c:crossBetween val="between"/>
      </c:valAx>
    </c:plotArea>
    <c:legend>
      <c:legendPos val="t"/>
      <c:layout>
        <c:manualLayout>
          <c:xMode val="edge"/>
          <c:yMode val="edge"/>
          <c:x val="0.27453153743548536"/>
          <c:y val="0.16410100776083644"/>
          <c:w val="0.47327717318526863"/>
          <c:h val="4.54959141124081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610385281442"/>
          <c:y val="2.2004139743846698E-2"/>
        </c:manualLayout>
      </c:layout>
      <c:overlay val="0"/>
    </c:title>
    <c:autoTitleDeleted val="0"/>
    <c:view3D>
      <c:rotX val="15"/>
      <c:rotY val="0"/>
      <c:rAngAx val="0"/>
    </c:view3D>
    <c:floor>
      <c:thickness val="0"/>
    </c:floor>
    <c:sideWall>
      <c:thickness val="0"/>
    </c:sideWall>
    <c:backWall>
      <c:thickness val="0"/>
    </c:backWall>
    <c:plotArea>
      <c:layout>
        <c:manualLayout>
          <c:layoutTarget val="inner"/>
          <c:xMode val="edge"/>
          <c:yMode val="edge"/>
          <c:x val="7.6172717131724908E-3"/>
          <c:y val="3.103545505974592E-2"/>
          <c:w val="0.97800042721133806"/>
          <c:h val="0.9070083266677792"/>
        </c:manualLayout>
      </c:layout>
      <c:bar3DChart>
        <c:barDir val="col"/>
        <c:grouping val="standard"/>
        <c:varyColors val="0"/>
        <c:ser>
          <c:idx val="0"/>
          <c:order val="0"/>
          <c:tx>
            <c:strRef>
              <c:f>'III.1.6.Afil. SFS x sexo'!$F$5</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sexo'!$A$6:$A$14</c:f>
              <c:strCache>
                <c:ptCount val="9"/>
                <c:pt idx="0">
                  <c:v>Dic. 2007</c:v>
                </c:pt>
                <c:pt idx="1">
                  <c:v>Dic. 2008</c:v>
                </c:pt>
                <c:pt idx="2">
                  <c:v>Dic. 2009</c:v>
                </c:pt>
                <c:pt idx="3">
                  <c:v>Dic. 2010</c:v>
                </c:pt>
                <c:pt idx="4">
                  <c:v>Dic. 2011</c:v>
                </c:pt>
                <c:pt idx="5">
                  <c:v>Dic. 2012</c:v>
                </c:pt>
                <c:pt idx="6">
                  <c:v>Dic. 2013</c:v>
                </c:pt>
                <c:pt idx="7">
                  <c:v>Dic. 2014</c:v>
                </c:pt>
                <c:pt idx="8">
                  <c:v> Jun. 2015</c:v>
                </c:pt>
              </c:strCache>
            </c:strRef>
          </c:cat>
          <c:val>
            <c:numRef>
              <c:f>'III.1.6.Afil. SFS x sexo'!$F$6:$F$14</c:f>
              <c:numCache>
                <c:formatCode>#,##0</c:formatCode>
                <c:ptCount val="9"/>
                <c:pt idx="0">
                  <c:v>1272336</c:v>
                </c:pt>
                <c:pt idx="1">
                  <c:v>1435840</c:v>
                </c:pt>
                <c:pt idx="2">
                  <c:v>1694508</c:v>
                </c:pt>
                <c:pt idx="3">
                  <c:v>2114818</c:v>
                </c:pt>
                <c:pt idx="4">
                  <c:v>2178632</c:v>
                </c:pt>
                <c:pt idx="5">
                  <c:v>2392114</c:v>
                </c:pt>
                <c:pt idx="6">
                  <c:v>2705829</c:v>
                </c:pt>
                <c:pt idx="7">
                  <c:v>2978843</c:v>
                </c:pt>
                <c:pt idx="8">
                  <c:v>3066251</c:v>
                </c:pt>
              </c:numCache>
            </c:numRef>
          </c:val>
        </c:ser>
        <c:ser>
          <c:idx val="1"/>
          <c:order val="1"/>
          <c:tx>
            <c:strRef>
              <c:f>'III.1.6.Afil. SFS x sexo'!$G$5</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sexo'!$A$6:$A$14</c:f>
              <c:strCache>
                <c:ptCount val="9"/>
                <c:pt idx="0">
                  <c:v>Dic. 2007</c:v>
                </c:pt>
                <c:pt idx="1">
                  <c:v>Dic. 2008</c:v>
                </c:pt>
                <c:pt idx="2">
                  <c:v>Dic. 2009</c:v>
                </c:pt>
                <c:pt idx="3">
                  <c:v>Dic. 2010</c:v>
                </c:pt>
                <c:pt idx="4">
                  <c:v>Dic. 2011</c:v>
                </c:pt>
                <c:pt idx="5">
                  <c:v>Dic. 2012</c:v>
                </c:pt>
                <c:pt idx="6">
                  <c:v>Dic. 2013</c:v>
                </c:pt>
                <c:pt idx="7">
                  <c:v>Dic. 2014</c:v>
                </c:pt>
                <c:pt idx="8">
                  <c:v> Jun. 2015</c:v>
                </c:pt>
              </c:strCache>
            </c:strRef>
          </c:cat>
          <c:val>
            <c:numRef>
              <c:f>'III.1.6.Afil. SFS x sexo'!$G$6:$G$14</c:f>
              <c:numCache>
                <c:formatCode>#,##0</c:formatCode>
                <c:ptCount val="9"/>
                <c:pt idx="0">
                  <c:v>1286781</c:v>
                </c:pt>
                <c:pt idx="1">
                  <c:v>1481062</c:v>
                </c:pt>
                <c:pt idx="2">
                  <c:v>1798016</c:v>
                </c:pt>
                <c:pt idx="3">
                  <c:v>2263051</c:v>
                </c:pt>
                <c:pt idx="4">
                  <c:v>2342218</c:v>
                </c:pt>
                <c:pt idx="5">
                  <c:v>2599648</c:v>
                </c:pt>
                <c:pt idx="6">
                  <c:v>2946900</c:v>
                </c:pt>
                <c:pt idx="7">
                  <c:v>3178402</c:v>
                </c:pt>
                <c:pt idx="8">
                  <c:v>3262083</c:v>
                </c:pt>
              </c:numCache>
            </c:numRef>
          </c:val>
        </c:ser>
        <c:ser>
          <c:idx val="2"/>
          <c:order val="2"/>
          <c:tx>
            <c:strRef>
              <c:f>'III.1.6.Afil. SFS x sexo'!$H$5</c:f>
              <c:strCache>
                <c:ptCount val="1"/>
                <c:pt idx="0">
                  <c:v>Total</c:v>
                </c:pt>
              </c:strCache>
            </c:strRef>
          </c:tx>
          <c:invertIfNegative val="0"/>
          <c:dLbls>
            <c:dLbl>
              <c:idx val="0"/>
              <c:layout>
                <c:manualLayout>
                  <c:x val="-2.0774314876999427E-3"/>
                  <c:y val="3.01726786502812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849543251332696E-3"/>
                  <c:y val="3.291564943667047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774314876999427E-3"/>
                  <c:y val="3.565862022305967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0781071960944208E-17"/>
                  <c:y val="3.154416404347592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3.291564943667047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462385812833136E-3"/>
                  <c:y val="3.1544164043475868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1548629753998855E-3"/>
                  <c:y val="3.428713482986507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sexo'!$A$6:$A$14</c:f>
              <c:strCache>
                <c:ptCount val="9"/>
                <c:pt idx="0">
                  <c:v>Dic. 2007</c:v>
                </c:pt>
                <c:pt idx="1">
                  <c:v>Dic. 2008</c:v>
                </c:pt>
                <c:pt idx="2">
                  <c:v>Dic. 2009</c:v>
                </c:pt>
                <c:pt idx="3">
                  <c:v>Dic. 2010</c:v>
                </c:pt>
                <c:pt idx="4">
                  <c:v>Dic. 2011</c:v>
                </c:pt>
                <c:pt idx="5">
                  <c:v>Dic. 2012</c:v>
                </c:pt>
                <c:pt idx="6">
                  <c:v>Dic. 2013</c:v>
                </c:pt>
                <c:pt idx="7">
                  <c:v>Dic. 2014</c:v>
                </c:pt>
                <c:pt idx="8">
                  <c:v> Jun. 2015</c:v>
                </c:pt>
              </c:strCache>
            </c:strRef>
          </c:cat>
          <c:val>
            <c:numRef>
              <c:f>'III.1.6.Afil. SFS x sexo'!$H$6:$H$14</c:f>
              <c:numCache>
                <c:formatCode>#,##0</c:formatCode>
                <c:ptCount val="9"/>
                <c:pt idx="0">
                  <c:v>2559117</c:v>
                </c:pt>
                <c:pt idx="1">
                  <c:v>2916902</c:v>
                </c:pt>
                <c:pt idx="2">
                  <c:v>3492524</c:v>
                </c:pt>
                <c:pt idx="3">
                  <c:v>4377869</c:v>
                </c:pt>
                <c:pt idx="4">
                  <c:v>4520850</c:v>
                </c:pt>
                <c:pt idx="5">
                  <c:v>4991762</c:v>
                </c:pt>
                <c:pt idx="6">
                  <c:v>5652729</c:v>
                </c:pt>
                <c:pt idx="7">
                  <c:v>6157245</c:v>
                </c:pt>
                <c:pt idx="8">
                  <c:v>6328334</c:v>
                </c:pt>
              </c:numCache>
            </c:numRef>
          </c:val>
        </c:ser>
        <c:dLbls>
          <c:showLegendKey val="0"/>
          <c:showVal val="0"/>
          <c:showCatName val="0"/>
          <c:showSerName val="0"/>
          <c:showPercent val="0"/>
          <c:showBubbleSize val="0"/>
        </c:dLbls>
        <c:gapWidth val="75"/>
        <c:shape val="box"/>
        <c:axId val="269814992"/>
        <c:axId val="269814600"/>
        <c:axId val="882460584"/>
      </c:bar3DChart>
      <c:catAx>
        <c:axId val="269814992"/>
        <c:scaling>
          <c:orientation val="minMax"/>
        </c:scaling>
        <c:delete val="0"/>
        <c:axPos val="b"/>
        <c:numFmt formatCode="General" sourceLinked="0"/>
        <c:majorTickMark val="none"/>
        <c:minorTickMark val="none"/>
        <c:tickLblPos val="nextTo"/>
        <c:txPr>
          <a:bodyPr/>
          <a:lstStyle/>
          <a:p>
            <a:pPr>
              <a:defRPr sz="1600"/>
            </a:pPr>
            <a:endParaRPr lang="es-ES"/>
          </a:p>
        </c:txPr>
        <c:crossAx val="269814600"/>
        <c:crosses val="autoZero"/>
        <c:auto val="1"/>
        <c:lblAlgn val="ctr"/>
        <c:lblOffset val="100"/>
        <c:noMultiLvlLbl val="0"/>
      </c:catAx>
      <c:valAx>
        <c:axId val="269814600"/>
        <c:scaling>
          <c:orientation val="minMax"/>
        </c:scaling>
        <c:delete val="1"/>
        <c:axPos val="l"/>
        <c:numFmt formatCode="#,##0" sourceLinked="1"/>
        <c:majorTickMark val="none"/>
        <c:minorTickMark val="none"/>
        <c:tickLblPos val="nextTo"/>
        <c:crossAx val="269814992"/>
        <c:crosses val="autoZero"/>
        <c:crossBetween val="between"/>
      </c:valAx>
      <c:serAx>
        <c:axId val="882460584"/>
        <c:scaling>
          <c:orientation val="minMax"/>
        </c:scaling>
        <c:delete val="1"/>
        <c:axPos val="b"/>
        <c:majorTickMark val="out"/>
        <c:minorTickMark val="none"/>
        <c:tickLblPos val="nextTo"/>
        <c:crossAx val="269814600"/>
        <c:crosses val="autoZero"/>
      </c:serAx>
    </c:plotArea>
    <c:legend>
      <c:legendPos val="t"/>
      <c:layout>
        <c:manualLayout>
          <c:xMode val="edge"/>
          <c:yMode val="edge"/>
          <c:x val="0.35743605192839334"/>
          <c:y val="7.6374095995311211E-2"/>
          <c:w val="0.28839577643149938"/>
          <c:h val="3.1433041329334353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8.5908077790845833E-2"/>
          <c:y val="0.18815601804349655"/>
          <c:w val="0.8732925392192501"/>
          <c:h val="0.77002936686972234"/>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Ene-Jun. 2015</c:v>
                </c:pt>
              </c:strCache>
            </c:strRef>
          </c:cat>
          <c:val>
            <c:numRef>
              <c:f>'V.4.8. Accid x rango de edad'!$B$4:$B$14</c:f>
              <c:numCache>
                <c:formatCode>_(* #,##0_);_(* \(#,##0\);_(* "-"??_);_(@_)</c:formatCode>
                <c:ptCount val="11"/>
                <c:pt idx="0">
                  <c:v>145</c:v>
                </c:pt>
                <c:pt idx="1">
                  <c:v>37</c:v>
                </c:pt>
                <c:pt idx="2">
                  <c:v>9</c:v>
                </c:pt>
                <c:pt idx="3">
                  <c:v>7</c:v>
                </c:pt>
                <c:pt idx="4">
                  <c:v>2</c:v>
                </c:pt>
                <c:pt idx="5">
                  <c:v>0</c:v>
                </c:pt>
                <c:pt idx="6">
                  <c:v>6</c:v>
                </c:pt>
                <c:pt idx="7">
                  <c:v>18</c:v>
                </c:pt>
                <c:pt idx="8">
                  <c:v>34</c:v>
                </c:pt>
                <c:pt idx="9">
                  <c:v>80</c:v>
                </c:pt>
                <c:pt idx="10">
                  <c:v>200</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Ene-Jun. 2015</c:v>
                </c:pt>
              </c:strCache>
            </c:strRef>
          </c:cat>
          <c:val>
            <c:numRef>
              <c:f>'V.4.8. Accid x rango de edad'!$C$4:$C$14</c:f>
              <c:numCache>
                <c:formatCode>_(* #,##0_);_(* \(#,##0\);_(* "-"??_);_(@_)</c:formatCode>
                <c:ptCount val="11"/>
                <c:pt idx="0">
                  <c:v>345</c:v>
                </c:pt>
                <c:pt idx="1">
                  <c:v>740</c:v>
                </c:pt>
                <c:pt idx="2">
                  <c:v>1413</c:v>
                </c:pt>
                <c:pt idx="3">
                  <c:v>1031</c:v>
                </c:pt>
                <c:pt idx="4">
                  <c:v>2024</c:v>
                </c:pt>
                <c:pt idx="5">
                  <c:v>3154</c:v>
                </c:pt>
                <c:pt idx="6">
                  <c:v>4931</c:v>
                </c:pt>
                <c:pt idx="7">
                  <c:v>6875</c:v>
                </c:pt>
                <c:pt idx="8">
                  <c:v>8429</c:v>
                </c:pt>
                <c:pt idx="9">
                  <c:v>9624</c:v>
                </c:pt>
                <c:pt idx="10">
                  <c:v>5924</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Ene-Jun. 2015</c:v>
                </c:pt>
              </c:strCache>
            </c:strRef>
          </c:cat>
          <c:val>
            <c:numRef>
              <c:f>'V.4.8. Accid x rango de edad'!$D$4:$D$14</c:f>
              <c:numCache>
                <c:formatCode>_(* #,##0_);_(* \(#,##0\);_(* "-"??_);_(@_)</c:formatCode>
                <c:ptCount val="11"/>
                <c:pt idx="0">
                  <c:v>1445</c:v>
                </c:pt>
                <c:pt idx="1">
                  <c:v>2043</c:v>
                </c:pt>
                <c:pt idx="2">
                  <c:v>3274</c:v>
                </c:pt>
                <c:pt idx="3">
                  <c:v>4066</c:v>
                </c:pt>
                <c:pt idx="4">
                  <c:v>5530</c:v>
                </c:pt>
                <c:pt idx="5">
                  <c:v>6350</c:v>
                </c:pt>
                <c:pt idx="6">
                  <c:v>7715</c:v>
                </c:pt>
                <c:pt idx="7">
                  <c:v>8611</c:v>
                </c:pt>
                <c:pt idx="8">
                  <c:v>8946</c:v>
                </c:pt>
                <c:pt idx="9">
                  <c:v>8806</c:v>
                </c:pt>
                <c:pt idx="10">
                  <c:v>4799</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Ene-Jun. 2015</c:v>
                </c:pt>
              </c:strCache>
            </c:strRef>
          </c:cat>
          <c:val>
            <c:numRef>
              <c:f>'V.4.8. Accid x rango de edad'!$E$4:$E$14</c:f>
              <c:numCache>
                <c:formatCode>_(* #,##0_);_(* \(#,##0\);_(* "-"??_);_(@_)</c:formatCode>
                <c:ptCount val="11"/>
                <c:pt idx="0">
                  <c:v>1013</c:v>
                </c:pt>
                <c:pt idx="1">
                  <c:v>1536</c:v>
                </c:pt>
                <c:pt idx="2">
                  <c:v>2149</c:v>
                </c:pt>
                <c:pt idx="3">
                  <c:v>3112</c:v>
                </c:pt>
                <c:pt idx="4">
                  <c:v>3839</c:v>
                </c:pt>
                <c:pt idx="5">
                  <c:v>4256</c:v>
                </c:pt>
                <c:pt idx="6">
                  <c:v>5319</c:v>
                </c:pt>
                <c:pt idx="7">
                  <c:v>5883</c:v>
                </c:pt>
                <c:pt idx="8">
                  <c:v>5876</c:v>
                </c:pt>
                <c:pt idx="9">
                  <c:v>6269</c:v>
                </c:pt>
                <c:pt idx="10">
                  <c:v>3151</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Ene-Jun. 2015</c:v>
                </c:pt>
              </c:strCache>
            </c:strRef>
          </c:cat>
          <c:val>
            <c:numRef>
              <c:f>'V.4.8. Accid x rango de edad'!$F$4:$F$14</c:f>
              <c:numCache>
                <c:formatCode>_(* #,##0_);_(* \(#,##0\);_(* "-"??_);_(@_)</c:formatCode>
                <c:ptCount val="11"/>
                <c:pt idx="0">
                  <c:v>511</c:v>
                </c:pt>
                <c:pt idx="1">
                  <c:v>808</c:v>
                </c:pt>
                <c:pt idx="2">
                  <c:v>1123</c:v>
                </c:pt>
                <c:pt idx="3">
                  <c:v>1708</c:v>
                </c:pt>
                <c:pt idx="4">
                  <c:v>2108</c:v>
                </c:pt>
                <c:pt idx="5">
                  <c:v>2407</c:v>
                </c:pt>
                <c:pt idx="6">
                  <c:v>3017</c:v>
                </c:pt>
                <c:pt idx="7">
                  <c:v>3457</c:v>
                </c:pt>
                <c:pt idx="8">
                  <c:v>3510</c:v>
                </c:pt>
                <c:pt idx="9">
                  <c:v>3876</c:v>
                </c:pt>
                <c:pt idx="10">
                  <c:v>1739</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Ene-Jun. 2015</c:v>
                </c:pt>
              </c:strCache>
            </c:strRef>
          </c:cat>
          <c:val>
            <c:numRef>
              <c:f>'V.4.8. Accid x rango de edad'!$G$4:$G$14</c:f>
              <c:numCache>
                <c:formatCode>_(* #,##0_);_(* \(#,##0\);_(* "-"??_);_(@_)</c:formatCode>
                <c:ptCount val="11"/>
                <c:pt idx="0">
                  <c:v>272</c:v>
                </c:pt>
                <c:pt idx="1">
                  <c:v>371</c:v>
                </c:pt>
                <c:pt idx="2">
                  <c:v>576</c:v>
                </c:pt>
                <c:pt idx="3">
                  <c:v>1053</c:v>
                </c:pt>
                <c:pt idx="4">
                  <c:v>1180</c:v>
                </c:pt>
                <c:pt idx="5">
                  <c:v>1289</c:v>
                </c:pt>
                <c:pt idx="6">
                  <c:v>1609</c:v>
                </c:pt>
                <c:pt idx="7">
                  <c:v>1844</c:v>
                </c:pt>
                <c:pt idx="8">
                  <c:v>1840</c:v>
                </c:pt>
                <c:pt idx="9">
                  <c:v>2377</c:v>
                </c:pt>
                <c:pt idx="10">
                  <c:v>746</c:v>
                </c:pt>
              </c:numCache>
            </c:numRef>
          </c:val>
        </c:ser>
        <c:dLbls>
          <c:showLegendKey val="0"/>
          <c:showVal val="0"/>
          <c:showCatName val="0"/>
          <c:showSerName val="0"/>
          <c:showPercent val="0"/>
          <c:showBubbleSize val="0"/>
        </c:dLbls>
        <c:gapWidth val="19"/>
        <c:overlap val="100"/>
        <c:axId val="230506528"/>
        <c:axId val="230506920"/>
      </c:barChart>
      <c:catAx>
        <c:axId val="230506528"/>
        <c:scaling>
          <c:orientation val="minMax"/>
        </c:scaling>
        <c:delete val="0"/>
        <c:axPos val="l"/>
        <c:numFmt formatCode="General" sourceLinked="1"/>
        <c:majorTickMark val="none"/>
        <c:minorTickMark val="none"/>
        <c:tickLblPos val="nextTo"/>
        <c:crossAx val="230506920"/>
        <c:crosses val="autoZero"/>
        <c:auto val="1"/>
        <c:lblAlgn val="ctr"/>
        <c:lblOffset val="100"/>
        <c:noMultiLvlLbl val="0"/>
      </c:catAx>
      <c:valAx>
        <c:axId val="230506920"/>
        <c:scaling>
          <c:orientation val="minMax"/>
        </c:scaling>
        <c:delete val="1"/>
        <c:axPos val="b"/>
        <c:numFmt formatCode="_(* #,##0_);_(* \(#,##0\);_(* &quot;-&quot;??_);_(@_)" sourceLinked="1"/>
        <c:majorTickMark val="out"/>
        <c:minorTickMark val="none"/>
        <c:tickLblPos val="nextTo"/>
        <c:crossAx val="230506528"/>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4468346009930133"/>
          <c:y val="2.802303861530590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766029795938026"/>
          <c:y val="0.23796658265444068"/>
          <c:w val="0.63201203888382473"/>
          <c:h val="0.58121217957080451"/>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5626119054142265E-2"/>
                  <c:y val="-1.535831972726288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fld id="{2E1C4733-AC4F-4638-84BF-27879D115361}" type="CATEGORYNAME">
                      <a:rPr lang="en-US">
                        <a:solidFill>
                          <a:sysClr val="windowText" lastClr="000000"/>
                        </a:solidFill>
                      </a:rPr>
                      <a:pPr>
                        <a:defRPr sz="1600">
                          <a:solidFill>
                            <a:sysClr val="windowText" lastClr="000000"/>
                          </a:solidFill>
                        </a:defRPr>
                      </a:pPr>
                      <a:t>[NOMBRE DE CATEGORÍA]</a:t>
                    </a:fld>
                    <a:r>
                      <a:rPr lang="en-US" baseline="0">
                        <a:solidFill>
                          <a:sysClr val="windowText" lastClr="000000"/>
                        </a:solidFill>
                      </a:rPr>
                      <a:t> </a:t>
                    </a:r>
                  </a:p>
                  <a:p>
                    <a:pPr>
                      <a:defRPr sz="1600">
                        <a:solidFill>
                          <a:sysClr val="windowText" lastClr="000000"/>
                        </a:solidFill>
                      </a:defRPr>
                    </a:pPr>
                    <a:fld id="{77148070-67BF-4B93-9444-5BDDC7578C9B}" type="VALUE">
                      <a:rPr lang="en-US" baseline="0">
                        <a:solidFill>
                          <a:sysClr val="windowText" lastClr="000000"/>
                        </a:solidFill>
                      </a:rPr>
                      <a:pPr>
                        <a:defRPr sz="1600">
                          <a:solidFill>
                            <a:sysClr val="windowText" lastClr="000000"/>
                          </a:solidFill>
                        </a:defRPr>
                      </a:pPr>
                      <a:t>[VALOR]</a:t>
                    </a:fld>
                    <a:endParaRPr lang="en-US" baseline="0">
                      <a:solidFill>
                        <a:sysClr val="windowText" lastClr="000000"/>
                      </a:solidFill>
                    </a:endParaRPr>
                  </a:p>
                  <a:p>
                    <a:pPr>
                      <a:defRPr sz="1600">
                        <a:solidFill>
                          <a:sysClr val="windowText" lastClr="000000"/>
                        </a:solidFill>
                      </a:defRPr>
                    </a:pPr>
                    <a:r>
                      <a:rPr lang="en-US" baseline="0">
                        <a:solidFill>
                          <a:sysClr val="windowText" lastClr="000000"/>
                        </a:solidFill>
                      </a:rPr>
                      <a:t> </a:t>
                    </a:r>
                    <a:fld id="{97B5176C-91BD-4377-BD3C-E08163AC36F8}" type="PERCENTAGE">
                      <a:rPr lang="en-US" baseline="0">
                        <a:solidFill>
                          <a:sysClr val="windowText" lastClr="000000"/>
                        </a:solidFill>
                      </a:rPr>
                      <a:pPr>
                        <a:defRPr sz="1600">
                          <a:solidFill>
                            <a:sysClr val="windowText" lastClr="000000"/>
                          </a:solidFill>
                        </a:defRPr>
                      </a:pPr>
                      <a:t>[PORCENTAJE]</a:t>
                    </a:fld>
                    <a:endParaRPr lang="en-US"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3.2387380958311153E-2"/>
                  <c:y val="4.415516921588054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fld id="{D874521D-ADF8-4DD2-9C66-5F21145465D1}" type="CATEGORYNAME">
                      <a:rPr lang="en-US">
                        <a:solidFill>
                          <a:sysClr val="windowText" lastClr="000000"/>
                        </a:solidFill>
                      </a:rPr>
                      <a:pPr>
                        <a:defRPr sz="1600">
                          <a:solidFill>
                            <a:sysClr val="windowText" lastClr="000000"/>
                          </a:solidFill>
                        </a:defRPr>
                      </a:pPr>
                      <a:t>[NOMBRE DE CATEGORÍA]</a:t>
                    </a:fld>
                    <a:endParaRPr lang="en-US">
                      <a:solidFill>
                        <a:sysClr val="windowText" lastClr="000000"/>
                      </a:solidFill>
                    </a:endParaRPr>
                  </a:p>
                  <a:p>
                    <a:pPr>
                      <a:defRPr sz="1600">
                        <a:solidFill>
                          <a:sysClr val="windowText" lastClr="000000"/>
                        </a:solidFill>
                      </a:defRPr>
                    </a:pPr>
                    <a:r>
                      <a:rPr lang="en-US" baseline="0">
                        <a:solidFill>
                          <a:sysClr val="windowText" lastClr="000000"/>
                        </a:solidFill>
                      </a:rPr>
                      <a:t> </a:t>
                    </a:r>
                    <a:fld id="{7252C668-E7E1-47C4-BE49-B525DA220A85}" type="VALUE">
                      <a:rPr lang="en-US" baseline="0">
                        <a:solidFill>
                          <a:sysClr val="windowText" lastClr="000000"/>
                        </a:solidFill>
                      </a:rPr>
                      <a:pPr>
                        <a:defRPr sz="1600">
                          <a:solidFill>
                            <a:sysClr val="windowText" lastClr="000000"/>
                          </a:solidFill>
                        </a:defRPr>
                      </a:pPr>
                      <a:t>[VALOR]</a:t>
                    </a:fld>
                    <a:r>
                      <a:rPr lang="en-US" baseline="0">
                        <a:solidFill>
                          <a:sysClr val="windowText" lastClr="000000"/>
                        </a:solidFill>
                      </a:rPr>
                      <a:t> </a:t>
                    </a:r>
                  </a:p>
                  <a:p>
                    <a:pPr>
                      <a:defRPr sz="1600">
                        <a:solidFill>
                          <a:sysClr val="windowText" lastClr="000000"/>
                        </a:solidFill>
                      </a:defRPr>
                    </a:pPr>
                    <a:fld id="{DE1987C8-6FDB-46C8-8052-D2D098013361}" type="PERCENTAGE">
                      <a:rPr lang="en-US" baseline="0">
                        <a:solidFill>
                          <a:sysClr val="windowText" lastClr="000000"/>
                        </a:solidFill>
                      </a:rPr>
                      <a:pPr>
                        <a:defRPr sz="1600">
                          <a:solidFill>
                            <a:sysClr val="windowText" lastClr="000000"/>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tx>
                <c:rich>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fld id="{A8B7272A-54F6-40DB-BCFD-BE4F79951B5C}" type="CATEGORYNAME">
                      <a:rPr lang="en-US">
                        <a:solidFill>
                          <a:sysClr val="windowText" lastClr="000000"/>
                        </a:solidFill>
                      </a:rPr>
                      <a:pPr>
                        <a:defRPr sz="1600">
                          <a:solidFill>
                            <a:sysClr val="windowText" lastClr="000000"/>
                          </a:solidFill>
                        </a:defRPr>
                      </a:pPr>
                      <a:t>[NOMBRE DE CATEGORÍA]</a:t>
                    </a:fld>
                    <a:endParaRPr lang="en-US">
                      <a:solidFill>
                        <a:sysClr val="windowText" lastClr="000000"/>
                      </a:solidFill>
                    </a:endParaRPr>
                  </a:p>
                  <a:p>
                    <a:pPr>
                      <a:defRPr sz="1600">
                        <a:solidFill>
                          <a:sysClr val="windowText" lastClr="000000"/>
                        </a:solidFill>
                      </a:defRPr>
                    </a:pPr>
                    <a:r>
                      <a:rPr lang="en-US" baseline="0">
                        <a:solidFill>
                          <a:sysClr val="windowText" lastClr="000000"/>
                        </a:solidFill>
                      </a:rPr>
                      <a:t> </a:t>
                    </a:r>
                    <a:fld id="{B0C1736C-AB1B-4C76-A0CA-295C99A66A48}" type="VALUE">
                      <a:rPr lang="en-US" baseline="0">
                        <a:solidFill>
                          <a:sysClr val="windowText" lastClr="000000"/>
                        </a:solidFill>
                      </a:rPr>
                      <a:pPr>
                        <a:defRPr sz="1600">
                          <a:solidFill>
                            <a:sysClr val="windowText" lastClr="000000"/>
                          </a:solidFill>
                        </a:defRPr>
                      </a:pPr>
                      <a:t>[VALOR]</a:t>
                    </a:fld>
                    <a:endParaRPr lang="en-US" baseline="0">
                      <a:solidFill>
                        <a:sysClr val="windowText" lastClr="000000"/>
                      </a:solidFill>
                    </a:endParaRPr>
                  </a:p>
                  <a:p>
                    <a:pPr>
                      <a:defRPr sz="1600">
                        <a:solidFill>
                          <a:sysClr val="windowText" lastClr="000000"/>
                        </a:solidFill>
                      </a:defRPr>
                    </a:pPr>
                    <a:r>
                      <a:rPr lang="en-US" baseline="0">
                        <a:solidFill>
                          <a:sysClr val="windowText" lastClr="000000"/>
                        </a:solidFill>
                      </a:rPr>
                      <a:t> </a:t>
                    </a:r>
                    <a:fld id="{BB7F9576-FE1E-450D-846C-194B3E38E595}" type="PERCENTAGE">
                      <a:rPr lang="en-US" baseline="0">
                        <a:solidFill>
                          <a:sysClr val="windowText" lastClr="000000"/>
                        </a:solidFill>
                      </a:rPr>
                      <a:pPr>
                        <a:defRPr sz="1600">
                          <a:solidFill>
                            <a:sysClr val="windowText" lastClr="000000"/>
                          </a:solidFill>
                        </a:defRPr>
                      </a:pPr>
                      <a:t>[PORCENTAJE]</a:t>
                    </a:fld>
                    <a:endParaRPr lang="en-US"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3"/>
              <c:layout>
                <c:manualLayout>
                  <c:x val="-6.3381808772093014E-3"/>
                  <c:y val="-4.223537924997283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fld id="{87BB35E3-3920-46D6-AA10-672B28504DBF}" type="CATEGORYNAME">
                      <a:rPr lang="en-US">
                        <a:solidFill>
                          <a:sysClr val="windowText" lastClr="000000"/>
                        </a:solidFill>
                      </a:rPr>
                      <a:pPr>
                        <a:defRPr sz="1600">
                          <a:solidFill>
                            <a:sysClr val="windowText" lastClr="000000"/>
                          </a:solidFill>
                        </a:defRPr>
                      </a:pPr>
                      <a:t>[NOMBRE DE CATEGORÍA]</a:t>
                    </a:fld>
                    <a:r>
                      <a:rPr lang="en-US" baseline="0">
                        <a:solidFill>
                          <a:sysClr val="windowText" lastClr="000000"/>
                        </a:solidFill>
                      </a:rPr>
                      <a:t> </a:t>
                    </a:r>
                  </a:p>
                  <a:p>
                    <a:pPr>
                      <a:defRPr sz="1600">
                        <a:solidFill>
                          <a:sysClr val="windowText" lastClr="000000"/>
                        </a:solidFill>
                      </a:defRPr>
                    </a:pPr>
                    <a:fld id="{32291BB7-B695-49B5-A8F5-4F51EDC63E35}" type="VALUE">
                      <a:rPr lang="en-US" baseline="0">
                        <a:solidFill>
                          <a:sysClr val="windowText" lastClr="000000"/>
                        </a:solidFill>
                      </a:rPr>
                      <a:pPr>
                        <a:defRPr sz="1600">
                          <a:solidFill>
                            <a:sysClr val="windowText" lastClr="000000"/>
                          </a:solidFill>
                        </a:defRPr>
                      </a:pPr>
                      <a:t>[VALOR]</a:t>
                    </a:fld>
                    <a:r>
                      <a:rPr lang="en-US" baseline="0">
                        <a:solidFill>
                          <a:sysClr val="windowText" lastClr="000000"/>
                        </a:solidFill>
                      </a:rPr>
                      <a:t> </a:t>
                    </a:r>
                  </a:p>
                  <a:p>
                    <a:pPr>
                      <a:defRPr sz="1600">
                        <a:solidFill>
                          <a:sysClr val="windowText" lastClr="000000"/>
                        </a:solidFill>
                      </a:defRPr>
                    </a:pPr>
                    <a:fld id="{A18C8E33-2711-4202-B0DF-FED88ABC071A}" type="PERCENTAGE">
                      <a:rPr lang="en-US" baseline="0">
                        <a:solidFill>
                          <a:sysClr val="windowText" lastClr="000000"/>
                        </a:solidFill>
                      </a:rPr>
                      <a:pPr>
                        <a:defRPr sz="1600">
                          <a:solidFill>
                            <a:sysClr val="windowText" lastClr="000000"/>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ysClr val="windowText" lastClr="000000"/>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Escolaridad'!$B$3:$E$3</c:f>
              <c:strCache>
                <c:ptCount val="4"/>
                <c:pt idx="0">
                  <c:v>Ninguno</c:v>
                </c:pt>
                <c:pt idx="1">
                  <c:v>Básico</c:v>
                </c:pt>
                <c:pt idx="2">
                  <c:v>Medio</c:v>
                </c:pt>
                <c:pt idx="3">
                  <c:v>Superior</c:v>
                </c:pt>
              </c:strCache>
            </c:strRef>
          </c:cat>
          <c:val>
            <c:numRef>
              <c:f>'V.4.9.Accid x Escolaridad'!$B$15:$E$15</c:f>
              <c:numCache>
                <c:formatCode>_(* #,##0_);_(* \(#,##0\);_(* "-"??_);_(@_)</c:formatCode>
                <c:ptCount val="4"/>
                <c:pt idx="0">
                  <c:v>5639</c:v>
                </c:pt>
                <c:pt idx="1">
                  <c:v>60300</c:v>
                </c:pt>
                <c:pt idx="2">
                  <c:v>86272</c:v>
                </c:pt>
                <c:pt idx="3">
                  <c:v>17223</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9302750020335939"/>
          <c:h val="0.6792428587373303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736850369713512E-2"/>
                  <c:y val="-1.66410199503881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89449689004845E-2"/>
                  <c:y val="-2.382777854667879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c:txPr>
                <a:bodyPr/>
                <a:lstStyle/>
                <a:p>
                  <a:pPr>
                    <a:defRPr sz="1400" b="1"/>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'!$A$7:$A$14</c:f>
              <c:strCache>
                <c:ptCount val="8"/>
                <c:pt idx="0">
                  <c:v>2008</c:v>
                </c:pt>
                <c:pt idx="1">
                  <c:v>2009</c:v>
                </c:pt>
                <c:pt idx="2">
                  <c:v>2010</c:v>
                </c:pt>
                <c:pt idx="3">
                  <c:v>2011</c:v>
                </c:pt>
                <c:pt idx="4">
                  <c:v>2012</c:v>
                </c:pt>
                <c:pt idx="5">
                  <c:v>2013</c:v>
                </c:pt>
                <c:pt idx="6">
                  <c:v>2014</c:v>
                </c:pt>
                <c:pt idx="7">
                  <c:v>Ene-Jun.2015</c:v>
                </c:pt>
              </c:strCache>
            </c:strRef>
          </c:cat>
          <c:val>
            <c:numRef>
              <c:f>'V.4.10.Accid x sector '!$J$7:$J$14</c:f>
              <c:numCache>
                <c:formatCode>0.00%</c:formatCode>
                <c:ptCount val="8"/>
                <c:pt idx="0">
                  <c:v>2.0314192849404116E-3</c:v>
                </c:pt>
                <c:pt idx="1">
                  <c:v>2.7543822892660101E-3</c:v>
                </c:pt>
                <c:pt idx="2">
                  <c:v>4.1575301399823794E-3</c:v>
                </c:pt>
                <c:pt idx="3">
                  <c:v>5.6707396334329911E-3</c:v>
                </c:pt>
                <c:pt idx="4">
                  <c:v>9.8497768609389202E-3</c:v>
                </c:pt>
                <c:pt idx="5">
                  <c:v>1.0704228061863753E-2</c:v>
                </c:pt>
                <c:pt idx="6">
                  <c:v>1.1170498695464061E-2</c:v>
                </c:pt>
                <c:pt idx="7">
                  <c:v>5.7467711715014722E-3</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954789617972524E-2"/>
                  <c:y val="-8.9290500844130018E-3"/>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'!$A$7:$A$14</c:f>
              <c:strCache>
                <c:ptCount val="8"/>
                <c:pt idx="0">
                  <c:v>2008</c:v>
                </c:pt>
                <c:pt idx="1">
                  <c:v>2009</c:v>
                </c:pt>
                <c:pt idx="2">
                  <c:v>2010</c:v>
                </c:pt>
                <c:pt idx="3">
                  <c:v>2011</c:v>
                </c:pt>
                <c:pt idx="4">
                  <c:v>2012</c:v>
                </c:pt>
                <c:pt idx="5">
                  <c:v>2013</c:v>
                </c:pt>
                <c:pt idx="6">
                  <c:v>2014</c:v>
                </c:pt>
                <c:pt idx="7">
                  <c:v>Ene-Jun.2015</c:v>
                </c:pt>
              </c:strCache>
            </c:strRef>
          </c:cat>
          <c:val>
            <c:numRef>
              <c:f>'V.4.10.Accid x sector '!$K$7:$K$14</c:f>
              <c:numCache>
                <c:formatCode>0.00%</c:formatCode>
                <c:ptCount val="8"/>
                <c:pt idx="0">
                  <c:v>1.1950197664168983E-2</c:v>
                </c:pt>
                <c:pt idx="1">
                  <c:v>1.5749353262431733E-2</c:v>
                </c:pt>
                <c:pt idx="2">
                  <c:v>1.6929991481498749E-2</c:v>
                </c:pt>
                <c:pt idx="3">
                  <c:v>2.0533245470578162E-2</c:v>
                </c:pt>
                <c:pt idx="4">
                  <c:v>2.2056905463504178E-2</c:v>
                </c:pt>
                <c:pt idx="5">
                  <c:v>2.1770892503967715E-2</c:v>
                </c:pt>
                <c:pt idx="6">
                  <c:v>2.1716399903482668E-2</c:v>
                </c:pt>
                <c:pt idx="7">
                  <c:v>1.1201057487126824E-2</c:v>
                </c:pt>
              </c:numCache>
            </c:numRef>
          </c:val>
        </c:ser>
        <c:dLbls>
          <c:showLegendKey val="0"/>
          <c:showVal val="0"/>
          <c:showCatName val="0"/>
          <c:showSerName val="0"/>
          <c:showPercent val="0"/>
          <c:showBubbleSize val="0"/>
        </c:dLbls>
        <c:gapWidth val="150"/>
        <c:shape val="cylinder"/>
        <c:axId val="230508096"/>
        <c:axId val="230508488"/>
        <c:axId val="0"/>
      </c:bar3DChart>
      <c:catAx>
        <c:axId val="230508096"/>
        <c:scaling>
          <c:orientation val="minMax"/>
        </c:scaling>
        <c:delete val="0"/>
        <c:axPos val="b"/>
        <c:numFmt formatCode="General" sourceLinked="1"/>
        <c:majorTickMark val="none"/>
        <c:minorTickMark val="none"/>
        <c:tickLblPos val="nextTo"/>
        <c:txPr>
          <a:bodyPr/>
          <a:lstStyle/>
          <a:p>
            <a:pPr>
              <a:defRPr sz="1200"/>
            </a:pPr>
            <a:endParaRPr lang="es-ES"/>
          </a:p>
        </c:txPr>
        <c:crossAx val="230508488"/>
        <c:crosses val="autoZero"/>
        <c:auto val="1"/>
        <c:lblAlgn val="ctr"/>
        <c:lblOffset val="100"/>
        <c:noMultiLvlLbl val="0"/>
      </c:catAx>
      <c:valAx>
        <c:axId val="230508488"/>
        <c:scaling>
          <c:orientation val="minMax"/>
        </c:scaling>
        <c:delete val="1"/>
        <c:axPos val="l"/>
        <c:numFmt formatCode="0.00%" sourceLinked="1"/>
        <c:majorTickMark val="out"/>
        <c:minorTickMark val="none"/>
        <c:tickLblPos val="nextTo"/>
        <c:crossAx val="230508096"/>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400"/>
            </a:pPr>
            <a:r>
              <a:rPr lang="es-DO" sz="1400" b="1">
                <a:effectLst/>
              </a:rPr>
              <a:t>Comparación Reporte de Accidentes Laborales y Enfermedades Profesionales y Afilación al SRL  por Sexo</a:t>
            </a:r>
            <a:endParaRPr lang="es-ES" sz="1400">
              <a:effectLst/>
            </a:endParaRPr>
          </a:p>
        </c:rich>
      </c:tx>
      <c:layout>
        <c:manualLayout>
          <c:xMode val="edge"/>
          <c:yMode val="edge"/>
          <c:x val="0.16547112096412617"/>
          <c:y val="3.807370376193509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2125453283383445"/>
          <c:w val="0.98659354466300098"/>
          <c:h val="0.6559136630702834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1.3250654853142205E-2"/>
                  <c:y val="-1.096650156952707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4071180551438E-2"/>
                  <c:y val="-1.535172178647260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2254651945234723E-3"/>
                  <c:y val="-2.411646802554312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253121432649917E-2"/>
                  <c:y val="-1.7531217991723056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sexo'!$A$4:$A$11</c:f>
              <c:strCache>
                <c:ptCount val="8"/>
                <c:pt idx="0">
                  <c:v>2008</c:v>
                </c:pt>
                <c:pt idx="1">
                  <c:v>2009</c:v>
                </c:pt>
                <c:pt idx="2">
                  <c:v>2010</c:v>
                </c:pt>
                <c:pt idx="3">
                  <c:v>2011</c:v>
                </c:pt>
                <c:pt idx="4">
                  <c:v>2012</c:v>
                </c:pt>
                <c:pt idx="5">
                  <c:v>2013</c:v>
                </c:pt>
                <c:pt idx="6">
                  <c:v>2014</c:v>
                </c:pt>
                <c:pt idx="7">
                  <c:v>Ene-Jun. 2015</c:v>
                </c:pt>
              </c:strCache>
            </c:strRef>
          </c:cat>
          <c:val>
            <c:numRef>
              <c:f>'V.4.11.Accid x sexo'!$J$4:$J$11</c:f>
              <c:numCache>
                <c:formatCode>0.0%</c:formatCode>
                <c:ptCount val="8"/>
                <c:pt idx="0">
                  <c:v>4.1262324431000112E-3</c:v>
                </c:pt>
                <c:pt idx="1">
                  <c:v>5.8595387041961615E-3</c:v>
                </c:pt>
                <c:pt idx="2">
                  <c:v>7.0485180750278773E-3</c:v>
                </c:pt>
                <c:pt idx="3">
                  <c:v>9.5494094711578367E-3</c:v>
                </c:pt>
                <c:pt idx="4">
                  <c:v>1.1335899058516615E-2</c:v>
                </c:pt>
                <c:pt idx="5">
                  <c:v>1.1717331156979951E-2</c:v>
                </c:pt>
                <c:pt idx="6">
                  <c:v>1.2129994129985919E-2</c:v>
                </c:pt>
                <c:pt idx="7">
                  <c:v>6.285825305337004E-3</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9.6703681982115829E-3"/>
                  <c:y val="-1.4806440351863801E-2"/>
                </c:manualLayout>
              </c:layout>
              <c:spPr>
                <a:noFill/>
                <a:ln>
                  <a:noFill/>
                </a:ln>
                <a:effectLs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sexo'!$A$4:$A$11</c:f>
              <c:strCache>
                <c:ptCount val="8"/>
                <c:pt idx="0">
                  <c:v>2008</c:v>
                </c:pt>
                <c:pt idx="1">
                  <c:v>2009</c:v>
                </c:pt>
                <c:pt idx="2">
                  <c:v>2010</c:v>
                </c:pt>
                <c:pt idx="3">
                  <c:v>2011</c:v>
                </c:pt>
                <c:pt idx="4">
                  <c:v>2012</c:v>
                </c:pt>
                <c:pt idx="5">
                  <c:v>2013</c:v>
                </c:pt>
                <c:pt idx="6">
                  <c:v>2014</c:v>
                </c:pt>
                <c:pt idx="7">
                  <c:v>Ene-Jun. 2015</c:v>
                </c:pt>
              </c:strCache>
            </c:strRef>
          </c:cat>
          <c:val>
            <c:numRef>
              <c:f>'V.4.11.Accid x sexo'!$K$4:$K$11</c:f>
              <c:numCache>
                <c:formatCode>0.0%</c:formatCode>
                <c:ptCount val="8"/>
                <c:pt idx="0">
                  <c:v>1.2979611588220547E-2</c:v>
                </c:pt>
                <c:pt idx="1">
                  <c:v>1.6517518558729825E-2</c:v>
                </c:pt>
                <c:pt idx="2">
                  <c:v>1.8257994456960403E-2</c:v>
                </c:pt>
                <c:pt idx="3">
                  <c:v>2.1815361183861855E-2</c:v>
                </c:pt>
                <c:pt idx="4">
                  <c:v>2.4360635512073788E-2</c:v>
                </c:pt>
                <c:pt idx="5">
                  <c:v>2.4247681743930209E-2</c:v>
                </c:pt>
                <c:pt idx="6">
                  <c:v>2.4084905076116211E-2</c:v>
                </c:pt>
                <c:pt idx="7">
                  <c:v>1.2422105306363869E-2</c:v>
                </c:pt>
              </c:numCache>
            </c:numRef>
          </c:val>
        </c:ser>
        <c:dLbls>
          <c:showLegendKey val="0"/>
          <c:showVal val="0"/>
          <c:showCatName val="0"/>
          <c:showSerName val="0"/>
          <c:showPercent val="0"/>
          <c:showBubbleSize val="0"/>
        </c:dLbls>
        <c:gapWidth val="150"/>
        <c:shape val="cylinder"/>
        <c:axId val="893501648"/>
        <c:axId val="893502040"/>
        <c:axId val="0"/>
      </c:bar3DChart>
      <c:catAx>
        <c:axId val="893501648"/>
        <c:scaling>
          <c:orientation val="minMax"/>
        </c:scaling>
        <c:delete val="0"/>
        <c:axPos val="b"/>
        <c:numFmt formatCode="General" sourceLinked="1"/>
        <c:majorTickMark val="none"/>
        <c:minorTickMark val="none"/>
        <c:tickLblPos val="nextTo"/>
        <c:txPr>
          <a:bodyPr/>
          <a:lstStyle/>
          <a:p>
            <a:pPr>
              <a:defRPr sz="1600"/>
            </a:pPr>
            <a:endParaRPr lang="es-ES"/>
          </a:p>
        </c:txPr>
        <c:crossAx val="893502040"/>
        <c:crosses val="autoZero"/>
        <c:auto val="1"/>
        <c:lblAlgn val="ctr"/>
        <c:lblOffset val="100"/>
        <c:noMultiLvlLbl val="0"/>
      </c:catAx>
      <c:valAx>
        <c:axId val="893502040"/>
        <c:scaling>
          <c:orientation val="minMax"/>
        </c:scaling>
        <c:delete val="1"/>
        <c:axPos val="l"/>
        <c:numFmt formatCode="0.0%" sourceLinked="1"/>
        <c:majorTickMark val="out"/>
        <c:minorTickMark val="none"/>
        <c:tickLblPos val="nextTo"/>
        <c:crossAx val="893501648"/>
        <c:crosses val="autoZero"/>
        <c:crossBetween val="between"/>
      </c:valAx>
    </c:plotArea>
    <c:legend>
      <c:legendPos val="t"/>
      <c:layout>
        <c:manualLayout>
          <c:xMode val="edge"/>
          <c:yMode val="edge"/>
          <c:x val="0.20233388876041034"/>
          <c:y val="8.5301251935330002E-2"/>
          <c:w val="0.54659541703361969"/>
          <c:h val="4.4931518667903285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8155898079663791E-2"/>
          <c:y val="0.16912319684136348"/>
          <c:w val="0.86406135392400929"/>
          <c:h val="0.77489112393434012"/>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Jun. 2015</c:v>
                </c:pt>
              </c:strCache>
            </c:strRef>
          </c:cat>
          <c:val>
            <c:numRef>
              <c:f>'V.4.12.Accid x edad'!$P$4:$P$11</c:f>
              <c:numCache>
                <c:formatCode>0.00%</c:formatCode>
                <c:ptCount val="8"/>
                <c:pt idx="0">
                  <c:v>3.0449345339075211E-4</c:v>
                </c:pt>
                <c:pt idx="1">
                  <c:v>8.9968511021142601E-5</c:v>
                </c:pt>
                <c:pt idx="2">
                  <c:v>0</c:v>
                </c:pt>
                <c:pt idx="3">
                  <c:v>2.5826446280991736E-4</c:v>
                </c:pt>
                <c:pt idx="4">
                  <c:v>8.3818393480791613E-4</c:v>
                </c:pt>
                <c:pt idx="5">
                  <c:v>1.651367234931274E-3</c:v>
                </c:pt>
                <c:pt idx="6">
                  <c:v>3.8024620942059984E-3</c:v>
                </c:pt>
                <c:pt idx="7">
                  <c:v>8.4235353577896636E-3</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Jun. 2015</c:v>
                </c:pt>
              </c:strCache>
            </c:strRef>
          </c:cat>
          <c:val>
            <c:numRef>
              <c:f>'V.4.12.Accid x edad'!$Q$4:$Q$11</c:f>
              <c:numCache>
                <c:formatCode>0.00%</c:formatCode>
                <c:ptCount val="8"/>
                <c:pt idx="0">
                  <c:v>2.9357829513873071E-3</c:v>
                </c:pt>
                <c:pt idx="1">
                  <c:v>5.7924229155576924E-3</c:v>
                </c:pt>
                <c:pt idx="2">
                  <c:v>8.4947533989786911E-3</c:v>
                </c:pt>
                <c:pt idx="3">
                  <c:v>1.2757491242322479E-2</c:v>
                </c:pt>
                <c:pt idx="4">
                  <c:v>1.7182087642392645E-2</c:v>
                </c:pt>
                <c:pt idx="5">
                  <c:v>1.9743237197579935E-2</c:v>
                </c:pt>
                <c:pt idx="6">
                  <c:v>2.0935574814660123E-2</c:v>
                </c:pt>
                <c:pt idx="7">
                  <c:v>1.2425825748979023E-2</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Jun. 2015</c:v>
                </c:pt>
              </c:strCache>
            </c:strRef>
          </c:cat>
          <c:val>
            <c:numRef>
              <c:f>'V.4.12.Accid x edad'!$R$4:$R$11</c:f>
              <c:numCache>
                <c:formatCode>0.00%</c:formatCode>
                <c:ptCount val="8"/>
                <c:pt idx="0">
                  <c:v>1.1604510518549807E-2</c:v>
                </c:pt>
                <c:pt idx="1">
                  <c:v>1.5467795936976423E-2</c:v>
                </c:pt>
                <c:pt idx="2">
                  <c:v>1.6738850212332974E-2</c:v>
                </c:pt>
                <c:pt idx="3">
                  <c:v>1.9368460163483359E-2</c:v>
                </c:pt>
                <c:pt idx="4">
                  <c:v>2.0784305206575864E-2</c:v>
                </c:pt>
                <c:pt idx="5">
                  <c:v>2.0315473459989009E-2</c:v>
                </c:pt>
                <c:pt idx="6">
                  <c:v>1.8615486410441247E-2</c:v>
                </c:pt>
                <c:pt idx="7">
                  <c:v>9.8786525180374445E-3</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Jun. 2015</c:v>
                </c:pt>
              </c:strCache>
            </c:strRef>
          </c:cat>
          <c:val>
            <c:numRef>
              <c:f>'V.4.12.Accid x edad'!$S$4:$S$11</c:f>
              <c:numCache>
                <c:formatCode>0.00%</c:formatCode>
                <c:ptCount val="8"/>
                <c:pt idx="0">
                  <c:v>1.1948734094591585E-2</c:v>
                </c:pt>
                <c:pt idx="1">
                  <c:v>1.4201634353231898E-2</c:v>
                </c:pt>
                <c:pt idx="2">
                  <c:v>1.5027346522277971E-2</c:v>
                </c:pt>
                <c:pt idx="3">
                  <c:v>1.7819632752746315E-2</c:v>
                </c:pt>
                <c:pt idx="4">
                  <c:v>1.8781905774406422E-2</c:v>
                </c:pt>
                <c:pt idx="5">
                  <c:v>1.7674785156308749E-2</c:v>
                </c:pt>
                <c:pt idx="6">
                  <c:v>1.7604457137401257E-2</c:v>
                </c:pt>
                <c:pt idx="7">
                  <c:v>8.6028962082823693E-3</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Jun. 2015</c:v>
                </c:pt>
              </c:strCache>
            </c:strRef>
          </c:cat>
          <c:val>
            <c:numRef>
              <c:f>'V.4.12.Accid x edad'!$T$4:$T$11</c:f>
              <c:numCache>
                <c:formatCode>0.00%</c:formatCode>
                <c:ptCount val="8"/>
                <c:pt idx="0">
                  <c:v>1.2258842443729904E-2</c:v>
                </c:pt>
                <c:pt idx="1">
                  <c:v>1.3721278396146586E-2</c:v>
                </c:pt>
                <c:pt idx="2">
                  <c:v>1.4867385637870758E-2</c:v>
                </c:pt>
                <c:pt idx="3">
                  <c:v>1.7458682468404242E-2</c:v>
                </c:pt>
                <c:pt idx="4">
                  <c:v>1.8911275102433796E-2</c:v>
                </c:pt>
                <c:pt idx="5">
                  <c:v>1.7448276547726752E-2</c:v>
                </c:pt>
                <c:pt idx="6">
                  <c:v>1.751579404029175E-2</c:v>
                </c:pt>
                <c:pt idx="7">
                  <c:v>7.6142687631082333E-3</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Jun. 2015</c:v>
                </c:pt>
              </c:strCache>
            </c:strRef>
          </c:cat>
          <c:val>
            <c:numRef>
              <c:f>'V.4.12.Accid x edad'!$U$4:$U$11</c:f>
              <c:numCache>
                <c:formatCode>0.00%</c:formatCode>
                <c:ptCount val="8"/>
                <c:pt idx="0">
                  <c:v>1.6478615358132109E-2</c:v>
                </c:pt>
                <c:pt idx="1">
                  <c:v>1.5830038201192949E-2</c:v>
                </c:pt>
                <c:pt idx="2">
                  <c:v>1.6085155236098634E-2</c:v>
                </c:pt>
                <c:pt idx="3">
                  <c:v>1.8198475354581852E-2</c:v>
                </c:pt>
                <c:pt idx="4">
                  <c:v>1.9451066433197613E-2</c:v>
                </c:pt>
                <c:pt idx="5">
                  <c:v>1.7495982580086909E-2</c:v>
                </c:pt>
                <c:pt idx="6">
                  <c:v>1.9803217502145278E-2</c:v>
                </c:pt>
                <c:pt idx="7">
                  <c:v>5.9282569653045982E-3</c:v>
                </c:pt>
              </c:numCache>
            </c:numRef>
          </c:val>
        </c:ser>
        <c:dLbls>
          <c:showLegendKey val="0"/>
          <c:showVal val="1"/>
          <c:showCatName val="0"/>
          <c:showSerName val="0"/>
          <c:showPercent val="0"/>
          <c:showBubbleSize val="0"/>
        </c:dLbls>
        <c:gapWidth val="95"/>
        <c:overlap val="100"/>
        <c:axId val="893502824"/>
        <c:axId val="893503216"/>
      </c:barChart>
      <c:catAx>
        <c:axId val="893502824"/>
        <c:scaling>
          <c:orientation val="minMax"/>
        </c:scaling>
        <c:delete val="0"/>
        <c:axPos val="l"/>
        <c:numFmt formatCode="General" sourceLinked="1"/>
        <c:majorTickMark val="none"/>
        <c:minorTickMark val="none"/>
        <c:tickLblPos val="nextTo"/>
        <c:txPr>
          <a:bodyPr/>
          <a:lstStyle/>
          <a:p>
            <a:pPr>
              <a:defRPr sz="1200"/>
            </a:pPr>
            <a:endParaRPr lang="es-ES"/>
          </a:p>
        </c:txPr>
        <c:crossAx val="893503216"/>
        <c:crosses val="autoZero"/>
        <c:auto val="1"/>
        <c:lblAlgn val="ctr"/>
        <c:lblOffset val="100"/>
        <c:noMultiLvlLbl val="0"/>
      </c:catAx>
      <c:valAx>
        <c:axId val="893503216"/>
        <c:scaling>
          <c:orientation val="minMax"/>
        </c:scaling>
        <c:delete val="1"/>
        <c:axPos val="b"/>
        <c:numFmt formatCode="0.00%" sourceLinked="1"/>
        <c:majorTickMark val="out"/>
        <c:minorTickMark val="none"/>
        <c:tickLblPos val="nextTo"/>
        <c:crossAx val="893502824"/>
        <c:crosses val="autoZero"/>
        <c:crossBetween val="between"/>
      </c:valAx>
    </c:plotArea>
    <c:legend>
      <c:legendPos val="t"/>
      <c:layout>
        <c:manualLayout>
          <c:xMode val="edge"/>
          <c:yMode val="edge"/>
          <c:x val="1.1463211751097008E-2"/>
          <c:y val="0.10780876494023905"/>
          <c:w val="0.97620710756164319"/>
          <c:h val="2.7229141178069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4259167979974865E-2"/>
          <c:y val="0.22146000613843153"/>
          <c:w val="0.96978524774876029"/>
          <c:h val="0.61658458518205261"/>
        </c:manualLayout>
      </c:layout>
      <c:bar3DChart>
        <c:barDir val="col"/>
        <c:grouping val="clustered"/>
        <c:varyColors val="0"/>
        <c:ser>
          <c:idx val="0"/>
          <c:order val="0"/>
          <c:tx>
            <c:strRef>
              <c:f>'V.4.13.EC. Accid. Lab'!$B$3</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8823524529331082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882352452933188E-3"/>
                  <c:y val="-1.0835668974578917E-2"/>
                </c:manualLayout>
              </c:layout>
              <c:spPr>
                <a:noFill/>
                <a:ln>
                  <a:noFill/>
                </a:ln>
                <a:effectLs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Lab'!$A$4:$A$10</c:f>
              <c:strCache>
                <c:ptCount val="7"/>
                <c:pt idx="0">
                  <c:v>2009</c:v>
                </c:pt>
                <c:pt idx="1">
                  <c:v>2010</c:v>
                </c:pt>
                <c:pt idx="2">
                  <c:v>2011</c:v>
                </c:pt>
                <c:pt idx="3">
                  <c:v>2012</c:v>
                </c:pt>
                <c:pt idx="4">
                  <c:v>2013</c:v>
                </c:pt>
                <c:pt idx="5">
                  <c:v>2014</c:v>
                </c:pt>
                <c:pt idx="6">
                  <c:v>Jun.2015</c:v>
                </c:pt>
              </c:strCache>
            </c:strRef>
          </c:cat>
          <c:val>
            <c:numRef>
              <c:f>'V.4.13.EC. Accid. Lab'!$B$4:$B$10</c:f>
              <c:numCache>
                <c:formatCode>_(* #,##0_);_(* \(#,##0\);_(* "-"??_);_(@_)</c:formatCode>
                <c:ptCount val="7"/>
                <c:pt idx="0">
                  <c:v>14329</c:v>
                </c:pt>
                <c:pt idx="1">
                  <c:v>16871</c:v>
                </c:pt>
                <c:pt idx="2">
                  <c:v>21189</c:v>
                </c:pt>
                <c:pt idx="3">
                  <c:v>26301</c:v>
                </c:pt>
                <c:pt idx="4">
                  <c:v>28752</c:v>
                </c:pt>
                <c:pt idx="5">
                  <c:v>30331</c:v>
                </c:pt>
                <c:pt idx="6">
                  <c:v>16169</c:v>
                </c:pt>
              </c:numCache>
            </c:numRef>
          </c:val>
        </c:ser>
        <c:ser>
          <c:idx val="1"/>
          <c:order val="1"/>
          <c:tx>
            <c:strRef>
              <c:f>'V.4.13.EC. Accid. Lab'!$C$3</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8471695490050552E-3"/>
                  <c:y val="-3.033987312882074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4325209111613813E-3"/>
                  <c:y val="-1.5169936564410293E-2"/>
                </c:manualLayout>
              </c:layout>
              <c:spPr>
                <a:noFill/>
                <a:ln>
                  <a:noFill/>
                </a:ln>
                <a:effectLs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Lab'!$A$4:$A$10</c:f>
              <c:strCache>
                <c:ptCount val="7"/>
                <c:pt idx="0">
                  <c:v>2009</c:v>
                </c:pt>
                <c:pt idx="1">
                  <c:v>2010</c:v>
                </c:pt>
                <c:pt idx="2">
                  <c:v>2011</c:v>
                </c:pt>
                <c:pt idx="3">
                  <c:v>2012</c:v>
                </c:pt>
                <c:pt idx="4">
                  <c:v>2013</c:v>
                </c:pt>
                <c:pt idx="5">
                  <c:v>2014</c:v>
                </c:pt>
                <c:pt idx="6">
                  <c:v>Jun.2015</c:v>
                </c:pt>
              </c:strCache>
            </c:strRef>
          </c:cat>
          <c:val>
            <c:numRef>
              <c:f>'V.4.13.EC. Accid. Lab'!$C$4:$C$10</c:f>
              <c:numCache>
                <c:formatCode>_(* #,##0_);_(* \(#,##0\);_(* "-"??_);_(@_)</c:formatCode>
                <c:ptCount val="7"/>
                <c:pt idx="0">
                  <c:v>14683</c:v>
                </c:pt>
                <c:pt idx="1">
                  <c:v>17456</c:v>
                </c:pt>
                <c:pt idx="2">
                  <c:v>22597</c:v>
                </c:pt>
                <c:pt idx="3">
                  <c:v>26688</c:v>
                </c:pt>
                <c:pt idx="4">
                  <c:v>28635</c:v>
                </c:pt>
                <c:pt idx="5">
                  <c:v>31032</c:v>
                </c:pt>
                <c:pt idx="6">
                  <c:v>16559</c:v>
                </c:pt>
              </c:numCache>
            </c:numRef>
          </c:val>
        </c:ser>
        <c:dLbls>
          <c:showLegendKey val="0"/>
          <c:showVal val="0"/>
          <c:showCatName val="0"/>
          <c:showSerName val="0"/>
          <c:showPercent val="0"/>
          <c:showBubbleSize val="0"/>
        </c:dLbls>
        <c:gapWidth val="150"/>
        <c:shape val="cylinder"/>
        <c:axId val="893504000"/>
        <c:axId val="893504392"/>
        <c:axId val="0"/>
      </c:bar3DChart>
      <c:catAx>
        <c:axId val="893504000"/>
        <c:scaling>
          <c:orientation val="minMax"/>
        </c:scaling>
        <c:delete val="0"/>
        <c:axPos val="b"/>
        <c:numFmt formatCode="General" sourceLinked="1"/>
        <c:majorTickMark val="none"/>
        <c:minorTickMark val="none"/>
        <c:tickLblPos val="nextTo"/>
        <c:txPr>
          <a:bodyPr/>
          <a:lstStyle/>
          <a:p>
            <a:pPr>
              <a:defRPr sz="1400"/>
            </a:pPr>
            <a:endParaRPr lang="es-ES"/>
          </a:p>
        </c:txPr>
        <c:crossAx val="893504392"/>
        <c:crosses val="autoZero"/>
        <c:auto val="1"/>
        <c:lblAlgn val="ctr"/>
        <c:lblOffset val="100"/>
        <c:noMultiLvlLbl val="0"/>
      </c:catAx>
      <c:valAx>
        <c:axId val="893504392"/>
        <c:scaling>
          <c:orientation val="minMax"/>
        </c:scaling>
        <c:delete val="1"/>
        <c:axPos val="l"/>
        <c:numFmt formatCode="_(* #,##0_);_(* \(#,##0\);_(* &quot;-&quot;??_);_(@_)" sourceLinked="1"/>
        <c:majorTickMark val="out"/>
        <c:minorTickMark val="none"/>
        <c:tickLblPos val="nextTo"/>
        <c:crossAx val="893504000"/>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0983837334229827"/>
          <c:y val="3.252467265325523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4854912157380872E-2"/>
          <c:y val="0.22072403848189512"/>
          <c:w val="0.9451992768529468"/>
          <c:h val="0.6416120832658937"/>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Lab.'!$A$4:$A$10</c:f>
              <c:strCache>
                <c:ptCount val="7"/>
                <c:pt idx="0">
                  <c:v>2009</c:v>
                </c:pt>
                <c:pt idx="1">
                  <c:v>2010</c:v>
                </c:pt>
                <c:pt idx="2">
                  <c:v>2011</c:v>
                </c:pt>
                <c:pt idx="3">
                  <c:v>2012</c:v>
                </c:pt>
                <c:pt idx="4">
                  <c:v>2013</c:v>
                </c:pt>
                <c:pt idx="5">
                  <c:v>2014</c:v>
                </c:pt>
                <c:pt idx="6">
                  <c:v>Ene-Jun. 2015</c:v>
                </c:pt>
              </c:strCache>
            </c:strRef>
          </c:cat>
          <c:val>
            <c:numRef>
              <c:f>'V.4.14.EC. Accid. Lab.'!$E$4:$E$10</c:f>
              <c:numCache>
                <c:formatCode>0.00%</c:formatCode>
                <c:ptCount val="7"/>
                <c:pt idx="0">
                  <c:v>0.93000209365622166</c:v>
                </c:pt>
                <c:pt idx="1">
                  <c:v>0.92744946950388241</c:v>
                </c:pt>
                <c:pt idx="2">
                  <c:v>0.96894615130492234</c:v>
                </c:pt>
                <c:pt idx="3">
                  <c:v>0.95943120033458806</c:v>
                </c:pt>
                <c:pt idx="4">
                  <c:v>0.94156928213689484</c:v>
                </c:pt>
                <c:pt idx="5">
                  <c:v>0.94695196333783915</c:v>
                </c:pt>
                <c:pt idx="6">
                  <c:v>0.94260622178242315</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Lab.'!$A$4:$A$10</c:f>
              <c:strCache>
                <c:ptCount val="7"/>
                <c:pt idx="0">
                  <c:v>2009</c:v>
                </c:pt>
                <c:pt idx="1">
                  <c:v>2010</c:v>
                </c:pt>
                <c:pt idx="2">
                  <c:v>2011</c:v>
                </c:pt>
                <c:pt idx="3">
                  <c:v>2012</c:v>
                </c:pt>
                <c:pt idx="4">
                  <c:v>2013</c:v>
                </c:pt>
                <c:pt idx="5">
                  <c:v>2014</c:v>
                </c:pt>
                <c:pt idx="6">
                  <c:v>Ene-Jun. 2015</c:v>
                </c:pt>
              </c:strCache>
            </c:strRef>
          </c:cat>
          <c:val>
            <c:numRef>
              <c:f>'V.4.14.EC. Accid. Lab.'!$F$4:$F$10</c:f>
              <c:numCache>
                <c:formatCode>0.00%</c:formatCode>
                <c:ptCount val="7"/>
                <c:pt idx="0">
                  <c:v>6.9997906343778352E-2</c:v>
                </c:pt>
                <c:pt idx="1">
                  <c:v>7.2550530496117593E-2</c:v>
                </c:pt>
                <c:pt idx="2">
                  <c:v>3.1053848695077636E-2</c:v>
                </c:pt>
                <c:pt idx="3">
                  <c:v>4.0568799665411964E-2</c:v>
                </c:pt>
                <c:pt idx="4">
                  <c:v>5.8430717863105178E-2</c:v>
                </c:pt>
                <c:pt idx="5">
                  <c:v>5.3048036662160826E-2</c:v>
                </c:pt>
                <c:pt idx="6">
                  <c:v>5.7393778217576845E-2</c:v>
                </c:pt>
              </c:numCache>
            </c:numRef>
          </c:val>
        </c:ser>
        <c:dLbls>
          <c:showLegendKey val="0"/>
          <c:showVal val="0"/>
          <c:showCatName val="0"/>
          <c:showSerName val="0"/>
          <c:showPercent val="0"/>
          <c:showBubbleSize val="0"/>
        </c:dLbls>
        <c:gapWidth val="75"/>
        <c:shape val="cylinder"/>
        <c:axId val="893505176"/>
        <c:axId val="893505568"/>
        <c:axId val="0"/>
      </c:bar3DChart>
      <c:catAx>
        <c:axId val="893505176"/>
        <c:scaling>
          <c:orientation val="minMax"/>
        </c:scaling>
        <c:delete val="0"/>
        <c:axPos val="b"/>
        <c:numFmt formatCode="General" sourceLinked="1"/>
        <c:majorTickMark val="none"/>
        <c:minorTickMark val="none"/>
        <c:tickLblPos val="nextTo"/>
        <c:txPr>
          <a:bodyPr/>
          <a:lstStyle/>
          <a:p>
            <a:pPr>
              <a:defRPr sz="1600"/>
            </a:pPr>
            <a:endParaRPr lang="es-ES"/>
          </a:p>
        </c:txPr>
        <c:crossAx val="893505568"/>
        <c:crosses val="autoZero"/>
        <c:auto val="1"/>
        <c:lblAlgn val="ctr"/>
        <c:lblOffset val="100"/>
        <c:noMultiLvlLbl val="0"/>
      </c:catAx>
      <c:valAx>
        <c:axId val="893505568"/>
        <c:scaling>
          <c:orientation val="minMax"/>
        </c:scaling>
        <c:delete val="1"/>
        <c:axPos val="l"/>
        <c:numFmt formatCode="0.00%" sourceLinked="1"/>
        <c:majorTickMark val="out"/>
        <c:minorTickMark val="none"/>
        <c:tickLblPos val="nextTo"/>
        <c:crossAx val="893505176"/>
        <c:crosses val="autoZero"/>
        <c:crossBetween val="between"/>
      </c:valAx>
    </c:plotArea>
    <c:legend>
      <c:legendPos val="t"/>
      <c:layout>
        <c:manualLayout>
          <c:xMode val="edge"/>
          <c:yMode val="edge"/>
          <c:x val="0.28542087581665537"/>
          <c:y val="8.5263813510185596E-2"/>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tipo'!$A$4:$A$10</c:f>
              <c:strCache>
                <c:ptCount val="7"/>
                <c:pt idx="0">
                  <c:v>2009</c:v>
                </c:pt>
                <c:pt idx="1">
                  <c:v>2010</c:v>
                </c:pt>
                <c:pt idx="2">
                  <c:v>2011</c:v>
                </c:pt>
                <c:pt idx="3">
                  <c:v>2012</c:v>
                </c:pt>
                <c:pt idx="4">
                  <c:v>2013</c:v>
                </c:pt>
                <c:pt idx="5">
                  <c:v>2014</c:v>
                </c:pt>
                <c:pt idx="6">
                  <c:v>Ene-Jun. 2015</c:v>
                </c:pt>
              </c:strCache>
            </c:strRef>
          </c:cat>
          <c:val>
            <c:numRef>
              <c:f>'V.4.15.EC. Accid. Lab x tipo'!$G$4:$G$10</c:f>
              <c:numCache>
                <c:formatCode>0.00%</c:formatCode>
                <c:ptCount val="7"/>
                <c:pt idx="0">
                  <c:v>0.76865098750785121</c:v>
                </c:pt>
                <c:pt idx="1">
                  <c:v>0.77037520004741866</c:v>
                </c:pt>
                <c:pt idx="2">
                  <c:v>0.74137524187078196</c:v>
                </c:pt>
                <c:pt idx="3">
                  <c:v>0.72179765027945708</c:v>
                </c:pt>
                <c:pt idx="4">
                  <c:v>0.68743043962159156</c:v>
                </c:pt>
                <c:pt idx="5">
                  <c:v>0.68853648082819563</c:v>
                </c:pt>
                <c:pt idx="6">
                  <c:v>0.67109901663677407</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tipo'!$A$4:$A$10</c:f>
              <c:strCache>
                <c:ptCount val="7"/>
                <c:pt idx="0">
                  <c:v>2009</c:v>
                </c:pt>
                <c:pt idx="1">
                  <c:v>2010</c:v>
                </c:pt>
                <c:pt idx="2">
                  <c:v>2011</c:v>
                </c:pt>
                <c:pt idx="3">
                  <c:v>2012</c:v>
                </c:pt>
                <c:pt idx="4">
                  <c:v>2013</c:v>
                </c:pt>
                <c:pt idx="5">
                  <c:v>2014</c:v>
                </c:pt>
                <c:pt idx="6">
                  <c:v>Ene-Jun. 2015</c:v>
                </c:pt>
              </c:strCache>
            </c:strRef>
          </c:cat>
          <c:val>
            <c:numRef>
              <c:f>'V.4.15.EC. Accid. Lab x tipo'!$H$4:$H$10</c:f>
              <c:numCache>
                <c:formatCode>0.00%</c:formatCode>
                <c:ptCount val="7"/>
                <c:pt idx="0">
                  <c:v>0.15192965315095261</c:v>
                </c:pt>
                <c:pt idx="1">
                  <c:v>0.14960583249362813</c:v>
                </c:pt>
                <c:pt idx="2">
                  <c:v>0.21987823870876397</c:v>
                </c:pt>
                <c:pt idx="3">
                  <c:v>0.22945895593323448</c:v>
                </c:pt>
                <c:pt idx="4">
                  <c:v>0.24568725653867557</c:v>
                </c:pt>
                <c:pt idx="5">
                  <c:v>0.24878836833602586</c:v>
                </c:pt>
                <c:pt idx="6">
                  <c:v>0.26266312078669057</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tipo'!$A$4:$A$10</c:f>
              <c:strCache>
                <c:ptCount val="7"/>
                <c:pt idx="0">
                  <c:v>2009</c:v>
                </c:pt>
                <c:pt idx="1">
                  <c:v>2010</c:v>
                </c:pt>
                <c:pt idx="2">
                  <c:v>2011</c:v>
                </c:pt>
                <c:pt idx="3">
                  <c:v>2012</c:v>
                </c:pt>
                <c:pt idx="4">
                  <c:v>2013</c:v>
                </c:pt>
                <c:pt idx="5">
                  <c:v>2014</c:v>
                </c:pt>
                <c:pt idx="6">
                  <c:v>Ene-Jun. 2015</c:v>
                </c:pt>
              </c:strCache>
            </c:strRef>
          </c:cat>
          <c:val>
            <c:numRef>
              <c:f>'V.4.15.EC. Accid. Lab x tipo'!$I$4:$I$10</c:f>
              <c:numCache>
                <c:formatCode>0.00%</c:formatCode>
                <c:ptCount val="7"/>
                <c:pt idx="0">
                  <c:v>8.9329332123665294E-3</c:v>
                </c:pt>
                <c:pt idx="1">
                  <c:v>7.4684369628356352E-3</c:v>
                </c:pt>
                <c:pt idx="2">
                  <c:v>7.6926707253763748E-3</c:v>
                </c:pt>
                <c:pt idx="3">
                  <c:v>8.1745941218965053E-3</c:v>
                </c:pt>
                <c:pt idx="4">
                  <c:v>8.451585976627712E-3</c:v>
                </c:pt>
                <c:pt idx="5">
                  <c:v>9.6271141736177512E-3</c:v>
                </c:pt>
                <c:pt idx="6">
                  <c:v>8.8440843589585004E-3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tipo'!$A$4:$A$10</c:f>
              <c:strCache>
                <c:ptCount val="7"/>
                <c:pt idx="0">
                  <c:v>2009</c:v>
                </c:pt>
                <c:pt idx="1">
                  <c:v>2010</c:v>
                </c:pt>
                <c:pt idx="2">
                  <c:v>2011</c:v>
                </c:pt>
                <c:pt idx="3">
                  <c:v>2012</c:v>
                </c:pt>
                <c:pt idx="4">
                  <c:v>2013</c:v>
                </c:pt>
                <c:pt idx="5">
                  <c:v>2014</c:v>
                </c:pt>
                <c:pt idx="6">
                  <c:v>Ene-Jun. 2015</c:v>
                </c:pt>
              </c:strCache>
            </c:strRef>
          </c:cat>
          <c:val>
            <c:numRef>
              <c:f>'V.4.15.EC. Accid. Lab x tipo'!$J$4:$J$10</c:f>
              <c:numCache>
                <c:formatCode>0.00%</c:formatCode>
                <c:ptCount val="7"/>
                <c:pt idx="0">
                  <c:v>7.0486426128829646E-2</c:v>
                </c:pt>
                <c:pt idx="1">
                  <c:v>7.2550530496117593E-2</c:v>
                </c:pt>
                <c:pt idx="2">
                  <c:v>3.1053848695077636E-2</c:v>
                </c:pt>
                <c:pt idx="3">
                  <c:v>4.0568799665411964E-2</c:v>
                </c:pt>
                <c:pt idx="4">
                  <c:v>5.8430717863105178E-2</c:v>
                </c:pt>
                <c:pt idx="5">
                  <c:v>5.3048036662160826E-2</c:v>
                </c:pt>
                <c:pt idx="6">
                  <c:v>5.7393778217576845E-2</c:v>
                </c:pt>
              </c:numCache>
            </c:numRef>
          </c:val>
        </c:ser>
        <c:dLbls>
          <c:showLegendKey val="0"/>
          <c:showVal val="0"/>
          <c:showCatName val="0"/>
          <c:showSerName val="0"/>
          <c:showPercent val="0"/>
          <c:showBubbleSize val="0"/>
        </c:dLbls>
        <c:gapWidth val="75"/>
        <c:shape val="cylinder"/>
        <c:axId val="893506352"/>
        <c:axId val="893506744"/>
        <c:axId val="0"/>
      </c:bar3DChart>
      <c:catAx>
        <c:axId val="893506352"/>
        <c:scaling>
          <c:orientation val="minMax"/>
        </c:scaling>
        <c:delete val="0"/>
        <c:axPos val="b"/>
        <c:numFmt formatCode="General" sourceLinked="1"/>
        <c:majorTickMark val="none"/>
        <c:minorTickMark val="none"/>
        <c:tickLblPos val="nextTo"/>
        <c:txPr>
          <a:bodyPr/>
          <a:lstStyle/>
          <a:p>
            <a:pPr>
              <a:defRPr sz="1600"/>
            </a:pPr>
            <a:endParaRPr lang="es-ES"/>
          </a:p>
        </c:txPr>
        <c:crossAx val="893506744"/>
        <c:crosses val="autoZero"/>
        <c:auto val="1"/>
        <c:lblAlgn val="ctr"/>
        <c:lblOffset val="100"/>
        <c:noMultiLvlLbl val="0"/>
      </c:catAx>
      <c:valAx>
        <c:axId val="893506744"/>
        <c:scaling>
          <c:orientation val="minMax"/>
        </c:scaling>
        <c:delete val="0"/>
        <c:axPos val="l"/>
        <c:numFmt formatCode="0.00%" sourceLinked="1"/>
        <c:majorTickMark val="none"/>
        <c:minorTickMark val="none"/>
        <c:tickLblPos val="nextTo"/>
        <c:spPr>
          <a:ln w="9525">
            <a:noFill/>
          </a:ln>
        </c:spPr>
        <c:crossAx val="893506352"/>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por Grado de Lesión</a:t>
            </a:r>
          </a:p>
        </c:rich>
      </c:tx>
      <c:layout>
        <c:manualLayout>
          <c:xMode val="edge"/>
          <c:yMode val="edge"/>
          <c:x val="0.26714113185062965"/>
          <c:y val="2.697939009910309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7311831931430777E-5"/>
          <c:y val="0.22125564713450474"/>
          <c:w val="0.98553602903017812"/>
          <c:h val="0.66437435742315376"/>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7.7231085388628305E-3"/>
                  <c:y val="-1.721147942898002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297205135515931E-3"/>
                  <c:y val="-8.083827380368903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826418234268163E-3"/>
                  <c:y val="-1.61676547607378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805793315229224E-2"/>
                  <c:y val="-1.8678039299379067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Ene-Jun.2015</c:v>
                </c:pt>
              </c:strCache>
            </c:strRef>
          </c:cat>
          <c:val>
            <c:numRef>
              <c:f>'V.4.16. EC. Accid. Lab x Lesión'!$I$4:$I$10</c:f>
              <c:numCache>
                <c:formatCode>0.0%</c:formatCode>
                <c:ptCount val="7"/>
                <c:pt idx="0">
                  <c:v>0.47721404145439317</c:v>
                </c:pt>
                <c:pt idx="1">
                  <c:v>0.52800663861063368</c:v>
                </c:pt>
                <c:pt idx="2">
                  <c:v>0.53867572797206098</c:v>
                </c:pt>
                <c:pt idx="3">
                  <c:v>0.57488308429337287</c:v>
                </c:pt>
                <c:pt idx="4">
                  <c:v>0.5688647746243739</c:v>
                </c:pt>
                <c:pt idx="5">
                  <c:v>0.55289967360126602</c:v>
                </c:pt>
                <c:pt idx="6">
                  <c:v>0.56181582039705613</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312380138210223E-3"/>
                  <c:y val="-1.0403203634908506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Ene-Jun.2015</c:v>
                </c:pt>
              </c:strCache>
            </c:strRef>
          </c:cat>
          <c:val>
            <c:numRef>
              <c:f>'V.4.16. EC. Accid. Lab x Lesión'!$J$4:$J$10</c:f>
              <c:numCache>
                <c:formatCode>0.0%</c:formatCode>
                <c:ptCount val="7"/>
                <c:pt idx="0">
                  <c:v>0.36185358364156606</c:v>
                </c:pt>
                <c:pt idx="1">
                  <c:v>0.3096437674115346</c:v>
                </c:pt>
                <c:pt idx="2">
                  <c:v>0.33692010005191375</c:v>
                </c:pt>
                <c:pt idx="3">
                  <c:v>0.31964564085015779</c:v>
                </c:pt>
                <c:pt idx="4">
                  <c:v>0.31872565386755702</c:v>
                </c:pt>
                <c:pt idx="5">
                  <c:v>0.34598265800665984</c:v>
                </c:pt>
                <c:pt idx="6">
                  <c:v>0.33762137423464655</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8264182342680814E-3"/>
                  <c:y val="-1.212574107055335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6271584901352832E-3"/>
                  <c:y val="-6.2127662072480969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Ene-Jun.2015</c:v>
                </c:pt>
              </c:strCache>
            </c:strRef>
          </c:cat>
          <c:val>
            <c:numRef>
              <c:f>'V.4.16. EC. Accid. Lab x Lesión'!$K$4:$K$10</c:f>
              <c:numCache>
                <c:formatCode>0.0%</c:formatCode>
                <c:ptCount val="7"/>
                <c:pt idx="0">
                  <c:v>5.9529625235536322E-2</c:v>
                </c:pt>
                <c:pt idx="1">
                  <c:v>5.2160512121391736E-2</c:v>
                </c:pt>
                <c:pt idx="2">
                  <c:v>5.2338477511916559E-2</c:v>
                </c:pt>
                <c:pt idx="3">
                  <c:v>3.562602182426524E-2</c:v>
                </c:pt>
                <c:pt idx="4">
                  <c:v>3.5858375069560376E-2</c:v>
                </c:pt>
                <c:pt idx="5">
                  <c:v>2.9507764333520162E-2</c:v>
                </c:pt>
                <c:pt idx="6">
                  <c:v>3.2469540478693798E-2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6912566547407924E-3"/>
                  <c:y val="-1.394676327925780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177771945882404E-3"/>
                  <c:y val="-1.0376622391881987E-2"/>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Ene-Jun.2015</c:v>
                </c:pt>
              </c:strCache>
            </c:strRef>
          </c:cat>
          <c:val>
            <c:numRef>
              <c:f>'V.4.16. EC. Accid. Lab x Lesión'!$L$4:$L$10</c:f>
              <c:numCache>
                <c:formatCode>0.0%</c:formatCode>
                <c:ptCount val="7"/>
                <c:pt idx="0">
                  <c:v>9.7703957010258913E-3</c:v>
                </c:pt>
                <c:pt idx="1">
                  <c:v>8.7724497658704277E-3</c:v>
                </c:pt>
                <c:pt idx="2">
                  <c:v>8.4949738071640954E-3</c:v>
                </c:pt>
                <c:pt idx="3">
                  <c:v>5.8552906733584272E-3</c:v>
                </c:pt>
                <c:pt idx="4">
                  <c:v>5.4952698942682251E-3</c:v>
                </c:pt>
                <c:pt idx="5">
                  <c:v>7.2533051993010451E-3</c:v>
                </c:pt>
                <c:pt idx="6">
                  <c:v>5.1951264765910075E-3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702026237075868E-2"/>
                  <c:y val="-4.1420065274800711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Ene-Jun.2015</c:v>
                </c:pt>
              </c:strCache>
            </c:strRef>
          </c:cat>
          <c:val>
            <c:numRef>
              <c:f>'V.4.16. EC. Accid. Lab x Lesión'!$M$4:$M$10</c:f>
              <c:numCache>
                <c:formatCode>0.0%</c:formatCode>
                <c:ptCount val="7"/>
                <c:pt idx="0">
                  <c:v>2.163444762370019E-2</c:v>
                </c:pt>
                <c:pt idx="1">
                  <c:v>2.8866101594452017E-2</c:v>
                </c:pt>
                <c:pt idx="2">
                  <c:v>3.2516871961867005E-2</c:v>
                </c:pt>
                <c:pt idx="3">
                  <c:v>2.3421162693433709E-2</c:v>
                </c:pt>
                <c:pt idx="4">
                  <c:v>1.2625208681135225E-2</c:v>
                </c:pt>
                <c:pt idx="5">
                  <c:v>1.1308562197092083E-2</c:v>
                </c:pt>
                <c:pt idx="6">
                  <c:v>5.50436019543571E-3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471393298363472E-2"/>
                  <c:y val="-6.2391816760931657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Ene-Jun.2015</c:v>
                </c:pt>
              </c:strCache>
            </c:strRef>
          </c:cat>
          <c:val>
            <c:numRef>
              <c:f>'V.4.16. EC. Accid. Lab x Lesión'!$N$4:$N$10</c:f>
              <c:numCache>
                <c:formatCode>0.0%</c:formatCode>
                <c:ptCount val="7"/>
                <c:pt idx="0">
                  <c:v>6.9997906343778352E-2</c:v>
                </c:pt>
                <c:pt idx="1">
                  <c:v>7.2550530496117593E-2</c:v>
                </c:pt>
                <c:pt idx="2">
                  <c:v>3.1053848695077636E-2</c:v>
                </c:pt>
                <c:pt idx="3">
                  <c:v>4.0568799665411964E-2</c:v>
                </c:pt>
                <c:pt idx="4">
                  <c:v>5.8430717863105178E-2</c:v>
                </c:pt>
                <c:pt idx="5">
                  <c:v>5.3048036662160826E-2</c:v>
                </c:pt>
                <c:pt idx="6">
                  <c:v>5.7393778217576845E-2</c:v>
                </c:pt>
              </c:numCache>
            </c:numRef>
          </c:val>
        </c:ser>
        <c:dLbls>
          <c:showLegendKey val="0"/>
          <c:showVal val="0"/>
          <c:showCatName val="0"/>
          <c:showSerName val="0"/>
          <c:showPercent val="0"/>
          <c:showBubbleSize val="0"/>
        </c:dLbls>
        <c:gapWidth val="75"/>
        <c:shape val="cylinder"/>
        <c:axId val="893507528"/>
        <c:axId val="893507920"/>
        <c:axId val="0"/>
      </c:bar3DChart>
      <c:catAx>
        <c:axId val="893507528"/>
        <c:scaling>
          <c:orientation val="minMax"/>
        </c:scaling>
        <c:delete val="0"/>
        <c:axPos val="b"/>
        <c:numFmt formatCode="General" sourceLinked="1"/>
        <c:majorTickMark val="none"/>
        <c:minorTickMark val="none"/>
        <c:tickLblPos val="nextTo"/>
        <c:txPr>
          <a:bodyPr/>
          <a:lstStyle/>
          <a:p>
            <a:pPr>
              <a:defRPr sz="1600"/>
            </a:pPr>
            <a:endParaRPr lang="es-ES"/>
          </a:p>
        </c:txPr>
        <c:crossAx val="893507920"/>
        <c:crosses val="autoZero"/>
        <c:auto val="1"/>
        <c:lblAlgn val="ctr"/>
        <c:lblOffset val="100"/>
        <c:noMultiLvlLbl val="0"/>
      </c:catAx>
      <c:valAx>
        <c:axId val="893507920"/>
        <c:scaling>
          <c:orientation val="minMax"/>
        </c:scaling>
        <c:delete val="1"/>
        <c:axPos val="l"/>
        <c:numFmt formatCode="0.0%" sourceLinked="1"/>
        <c:majorTickMark val="out"/>
        <c:minorTickMark val="none"/>
        <c:tickLblPos val="nextTo"/>
        <c:crossAx val="893507528"/>
        <c:crosses val="autoZero"/>
        <c:crossBetween val="between"/>
      </c:valAx>
      <c:spPr>
        <a:noFill/>
        <a:ln w="25400">
          <a:noFill/>
        </a:ln>
      </c:spPr>
    </c:plotArea>
    <c:legend>
      <c:legendPos val="t"/>
      <c:layout>
        <c:manualLayout>
          <c:xMode val="edge"/>
          <c:yMode val="edge"/>
          <c:x val="6.467828910832589E-2"/>
          <c:y val="0.12779723230279158"/>
          <c:w val="0.8463244180622882"/>
          <c:h val="4.246124032903853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a:t>
            </a:r>
            <a:r>
              <a:rPr lang="en-US" sz="1400" baseline="0"/>
              <a:t> S</a:t>
            </a:r>
            <a:r>
              <a:rPr lang="en-US" sz="1400"/>
              <a:t>egún Circunstancia del Suceso</a:t>
            </a:r>
          </a:p>
        </c:rich>
      </c:tx>
      <c:layout>
        <c:manualLayout>
          <c:xMode val="edge"/>
          <c:yMode val="edge"/>
          <c:x val="0.26854740603961869"/>
          <c:y val="4.20050236688296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Ene-Jun. 2015</c:v>
                </c:pt>
              </c:strCache>
            </c:strRef>
          </c:cat>
          <c:val>
            <c:numRef>
              <c:f>'V.4.17. Accid.Lab suceso'!$I$4:$I$10</c:f>
              <c:numCache>
                <c:formatCode>0.00%</c:formatCode>
                <c:ptCount val="7"/>
                <c:pt idx="0">
                  <c:v>2.5961337148440226E-2</c:v>
                </c:pt>
                <c:pt idx="1">
                  <c:v>2.4598423329974514E-2</c:v>
                </c:pt>
                <c:pt idx="2">
                  <c:v>2.2275709094341404E-2</c:v>
                </c:pt>
                <c:pt idx="3">
                  <c:v>2.1063837876886812E-2</c:v>
                </c:pt>
                <c:pt idx="4">
                  <c:v>4.013633834168058E-2</c:v>
                </c:pt>
                <c:pt idx="5">
                  <c:v>3.8970030661699254E-2</c:v>
                </c:pt>
                <c:pt idx="6">
                  <c:v>2.968643700909147E-2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Ene-Jun. 2015</c:v>
                </c:pt>
              </c:strCache>
            </c:strRef>
          </c:cat>
          <c:val>
            <c:numRef>
              <c:f>'V.4.17. Accid.Lab suceso'!$J$4:$J$10</c:f>
              <c:numCache>
                <c:formatCode>0.00%</c:formatCode>
                <c:ptCount val="7"/>
                <c:pt idx="0">
                  <c:v>2.3658315304626979E-2</c:v>
                </c:pt>
                <c:pt idx="1">
                  <c:v>2.1160571394700966E-2</c:v>
                </c:pt>
                <c:pt idx="2">
                  <c:v>3.770824484402284E-2</c:v>
                </c:pt>
                <c:pt idx="3">
                  <c:v>4.5739705714611611E-2</c:v>
                </c:pt>
                <c:pt idx="4">
                  <c:v>3.3180300500834724E-2</c:v>
                </c:pt>
                <c:pt idx="5">
                  <c:v>3.7156704361873988E-2</c:v>
                </c:pt>
                <c:pt idx="6">
                  <c:v>3.8468674624281031E-2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Ene-Jun. 2015</c:v>
                </c:pt>
              </c:strCache>
            </c:strRef>
          </c:cat>
          <c:val>
            <c:numRef>
              <c:f>'V.4.17. Accid.Lab suceso'!$K$4:$K$10</c:f>
              <c:numCache>
                <c:formatCode>0.00%</c:formatCode>
                <c:ptCount val="7"/>
                <c:pt idx="0">
                  <c:v>3.4754693279363529E-2</c:v>
                </c:pt>
                <c:pt idx="1">
                  <c:v>2.8688281666765455E-2</c:v>
                </c:pt>
                <c:pt idx="2">
                  <c:v>2.5956864410779178E-2</c:v>
                </c:pt>
                <c:pt idx="3">
                  <c:v>2.0569560092772138E-2</c:v>
                </c:pt>
                <c:pt idx="4">
                  <c:v>1.4885920979410128E-2</c:v>
                </c:pt>
                <c:pt idx="5">
                  <c:v>2.070488938709571E-2</c:v>
                </c:pt>
                <c:pt idx="6">
                  <c:v>5.6899004267425323E-3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1.2276135545254236E-2"/>
                  <c:y val="-3.495842406789655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8162759117238068E-3"/>
                  <c:y val="-7.537744917211735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162759117238068E-3"/>
                  <c:y val="-1.173566460010022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49242167018968E-3"/>
                  <c:y val="-1.0494799207221215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Ene-Jun. 2015</c:v>
                </c:pt>
              </c:strCache>
            </c:strRef>
          </c:cat>
          <c:val>
            <c:numRef>
              <c:f>'V.4.17. Accid.Lab suceso'!$L$4:$L$10</c:f>
              <c:numCache>
                <c:formatCode>0.00%</c:formatCode>
                <c:ptCount val="7"/>
                <c:pt idx="0">
                  <c:v>0.81394375043617839</c:v>
                </c:pt>
                <c:pt idx="1">
                  <c:v>0.80510935925552729</c:v>
                </c:pt>
                <c:pt idx="2">
                  <c:v>0.82910944357921568</c:v>
                </c:pt>
                <c:pt idx="3">
                  <c:v>0.83993004068286381</c:v>
                </c:pt>
                <c:pt idx="4">
                  <c:v>0.82644685587089595</c:v>
                </c:pt>
                <c:pt idx="5">
                  <c:v>0.82331607925884409</c:v>
                </c:pt>
                <c:pt idx="6">
                  <c:v>0.84649638196548949</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Ene-Jun. 2015</c:v>
                </c:pt>
              </c:strCache>
            </c:strRef>
          </c:cat>
          <c:val>
            <c:numRef>
              <c:f>'V.4.17. Accid.Lab suceso'!$M$4:$M$10</c:f>
              <c:numCache>
                <c:formatCode>0.00%</c:formatCode>
                <c:ptCount val="7"/>
                <c:pt idx="0">
                  <c:v>3.196315165049899E-2</c:v>
                </c:pt>
                <c:pt idx="1">
                  <c:v>3.0762847489775355E-2</c:v>
                </c:pt>
                <c:pt idx="2">
                  <c:v>2.5484921421492283E-2</c:v>
                </c:pt>
                <c:pt idx="3">
                  <c:v>2.4751910573742444E-2</c:v>
                </c:pt>
                <c:pt idx="4">
                  <c:v>2.2607122982749025E-2</c:v>
                </c:pt>
                <c:pt idx="5">
                  <c:v>2.5617355181167784E-2</c:v>
                </c:pt>
                <c:pt idx="6">
                  <c:v>2.2264827756818602E-2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Ene-Jun. 2015</c:v>
                </c:pt>
              </c:strCache>
            </c:strRef>
          </c:cat>
          <c:val>
            <c:numRef>
              <c:f>'V.4.17. Accid.Lab suceso'!$N$4:$N$10</c:f>
              <c:numCache>
                <c:formatCode>0.00%</c:formatCode>
                <c:ptCount val="7"/>
                <c:pt idx="0">
                  <c:v>6.9718752180891894E-2</c:v>
                </c:pt>
                <c:pt idx="1">
                  <c:v>8.9680516863256482E-2</c:v>
                </c:pt>
                <c:pt idx="2">
                  <c:v>5.9464816650148661E-2</c:v>
                </c:pt>
                <c:pt idx="3">
                  <c:v>4.794494505912323E-2</c:v>
                </c:pt>
                <c:pt idx="4">
                  <c:v>6.2743461324429609E-2</c:v>
                </c:pt>
                <c:pt idx="5">
                  <c:v>5.4234941149319177E-2</c:v>
                </c:pt>
                <c:pt idx="6">
                  <c:v>5.7393778217576845E-2</c:v>
                </c:pt>
              </c:numCache>
            </c:numRef>
          </c:val>
        </c:ser>
        <c:dLbls>
          <c:showLegendKey val="0"/>
          <c:showVal val="0"/>
          <c:showCatName val="0"/>
          <c:showSerName val="0"/>
          <c:showPercent val="0"/>
          <c:showBubbleSize val="0"/>
        </c:dLbls>
        <c:gapWidth val="75"/>
        <c:shape val="cylinder"/>
        <c:axId val="893508704"/>
        <c:axId val="893509096"/>
        <c:axId val="0"/>
      </c:bar3DChart>
      <c:catAx>
        <c:axId val="893508704"/>
        <c:scaling>
          <c:orientation val="minMax"/>
        </c:scaling>
        <c:delete val="0"/>
        <c:axPos val="b"/>
        <c:numFmt formatCode="General" sourceLinked="1"/>
        <c:majorTickMark val="none"/>
        <c:minorTickMark val="none"/>
        <c:tickLblPos val="nextTo"/>
        <c:txPr>
          <a:bodyPr/>
          <a:lstStyle/>
          <a:p>
            <a:pPr>
              <a:defRPr sz="1800"/>
            </a:pPr>
            <a:endParaRPr lang="es-ES"/>
          </a:p>
        </c:txPr>
        <c:crossAx val="893509096"/>
        <c:crosses val="autoZero"/>
        <c:auto val="1"/>
        <c:lblAlgn val="ctr"/>
        <c:lblOffset val="100"/>
        <c:noMultiLvlLbl val="0"/>
      </c:catAx>
      <c:valAx>
        <c:axId val="893509096"/>
        <c:scaling>
          <c:orientation val="minMax"/>
        </c:scaling>
        <c:delete val="1"/>
        <c:axPos val="l"/>
        <c:numFmt formatCode="0.00%" sourceLinked="1"/>
        <c:majorTickMark val="out"/>
        <c:minorTickMark val="none"/>
        <c:tickLblPos val="nextTo"/>
        <c:crossAx val="893508704"/>
        <c:crosses val="autoZero"/>
        <c:crossBetween val="between"/>
      </c:valAx>
      <c:spPr>
        <a:noFill/>
        <a:ln w="25400">
          <a:noFill/>
        </a:ln>
      </c:spPr>
    </c:plotArea>
    <c:legend>
      <c:legendPos val="t"/>
      <c:layout>
        <c:manualLayout>
          <c:xMode val="edge"/>
          <c:yMode val="edge"/>
          <c:x val="2.8096018082347475E-3"/>
          <c:y val="0.12480221193939781"/>
          <c:w val="0.98284047651466699"/>
          <c:h val="4.67718124365912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0055036444718079E-2"/>
          <c:y val="0.25885770282277892"/>
          <c:w val="0.9133388200618745"/>
          <c:h val="0.58451273096063883"/>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pattFill prst="pct70">
                <a:fgClr>
                  <a:schemeClr val="tx2">
                    <a:lumMod val="40000"/>
                    <a:lumOff val="60000"/>
                  </a:schemeClr>
                </a:fgClr>
                <a:bgClr>
                  <a:schemeClr val="bg1"/>
                </a:bgClr>
              </a:pattFill>
            </c:spPr>
          </c:dPt>
          <c:dPt>
            <c:idx val="11"/>
            <c:invertIfNegative val="0"/>
            <c:bubble3D val="0"/>
            <c:spPr>
              <a:pattFill prst="pct70">
                <a:fgClr>
                  <a:schemeClr val="tx2">
                    <a:lumMod val="40000"/>
                    <a:lumOff val="60000"/>
                  </a:schemeClr>
                </a:fgClr>
                <a:bgClr>
                  <a:schemeClr val="bg1"/>
                </a:bgClr>
              </a:pattFill>
            </c:spPr>
          </c:dPt>
          <c:dPt>
            <c:idx val="12"/>
            <c:invertIfNegative val="0"/>
            <c:bubble3D val="0"/>
            <c:spPr>
              <a:pattFill prst="pct70">
                <a:fgClr>
                  <a:schemeClr val="tx2">
                    <a:lumMod val="40000"/>
                    <a:lumOff val="60000"/>
                  </a:schemeClr>
                </a:fgClr>
                <a:bgClr>
                  <a:schemeClr val="bg1"/>
                </a:bgClr>
              </a:pattFill>
            </c:spPr>
          </c:dPt>
          <c:dPt>
            <c:idx val="13"/>
            <c:invertIfNegative val="0"/>
            <c:bubble3D val="0"/>
            <c:spPr>
              <a:pattFill prst="pct70">
                <a:fgClr>
                  <a:schemeClr val="tx2">
                    <a:lumMod val="40000"/>
                    <a:lumOff val="60000"/>
                  </a:schemeClr>
                </a:fgClr>
                <a:bgClr>
                  <a:schemeClr val="bg1"/>
                </a:bgClr>
              </a:pattFill>
            </c:spPr>
          </c:dPt>
          <c:dPt>
            <c:idx val="14"/>
            <c:invertIfNegative val="0"/>
            <c:bubble3D val="0"/>
            <c:spPr>
              <a:pattFill prst="pct70">
                <a:fgClr>
                  <a:schemeClr val="tx2">
                    <a:lumMod val="40000"/>
                    <a:lumOff val="60000"/>
                  </a:schemeClr>
                </a:fgClr>
                <a:bgClr>
                  <a:schemeClr val="bg1"/>
                </a:bgClr>
              </a:pattFill>
            </c:spPr>
          </c:dPt>
          <c:dPt>
            <c:idx val="15"/>
            <c:invertIfNegative val="0"/>
            <c:bubble3D val="0"/>
            <c:spPr>
              <a:pattFill prst="pct70">
                <a:fgClr>
                  <a:schemeClr val="tx2">
                    <a:lumMod val="40000"/>
                    <a:lumOff val="60000"/>
                  </a:schemeClr>
                </a:fgClr>
                <a:bgClr>
                  <a:schemeClr val="bg1"/>
                </a:bgClr>
              </a:pattFill>
            </c:spPr>
          </c:dPt>
          <c:dPt>
            <c:idx val="16"/>
            <c:invertIfNegative val="0"/>
            <c:bubble3D val="0"/>
            <c:spPr>
              <a:pattFill prst="pct70">
                <a:fgClr>
                  <a:schemeClr val="tx2">
                    <a:lumMod val="40000"/>
                    <a:lumOff val="60000"/>
                  </a:schemeClr>
                </a:fgClr>
                <a:bgClr>
                  <a:schemeClr val="bg1"/>
                </a:bgClr>
              </a:patt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'III.1.7.Proy. afil.Vs pobl.'!$A$5:$A$23</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pobl.'!$B$5:$B$23</c:f>
              <c:numCache>
                <c:formatCode>#,##0</c:formatCode>
                <c:ptCount val="17"/>
                <c:pt idx="0">
                  <c:v>8968144</c:v>
                </c:pt>
                <c:pt idx="1">
                  <c:v>9072308</c:v>
                </c:pt>
                <c:pt idx="2">
                  <c:v>9175265</c:v>
                </c:pt>
                <c:pt idx="3">
                  <c:v>9277181</c:v>
                </c:pt>
                <c:pt idx="4">
                  <c:v>9378455</c:v>
                </c:pt>
                <c:pt idx="5">
                  <c:v>9478612</c:v>
                </c:pt>
                <c:pt idx="6">
                  <c:v>9579983</c:v>
                </c:pt>
                <c:pt idx="7">
                  <c:v>9680534</c:v>
                </c:pt>
                <c:pt idx="8">
                  <c:v>9780743</c:v>
                </c:pt>
                <c:pt idx="9">
                  <c:v>9880505</c:v>
                </c:pt>
                <c:pt idx="10">
                  <c:v>9980243</c:v>
                </c:pt>
                <c:pt idx="11">
                  <c:v>10075780</c:v>
                </c:pt>
                <c:pt idx="12">
                  <c:v>10170498</c:v>
                </c:pt>
                <c:pt idx="13">
                  <c:v>10264384</c:v>
                </c:pt>
                <c:pt idx="14">
                  <c:v>10357021</c:v>
                </c:pt>
                <c:pt idx="15">
                  <c:v>10448497</c:v>
                </c:pt>
                <c:pt idx="16">
                  <c:v>10624364</c:v>
                </c:pt>
              </c:numCache>
            </c:numRef>
          </c:val>
        </c:ser>
        <c:ser>
          <c:idx val="2"/>
          <c:order val="1"/>
          <c:tx>
            <c:strRef>
              <c:f>'III.1.7.Proy. afil.Vs pobl.'!$D$4</c:f>
              <c:strCache>
                <c:ptCount val="1"/>
                <c:pt idx="0">
                  <c:v>% Afiliación SFS /Pob. Total</c:v>
                </c:pt>
              </c:strCache>
            </c:strRef>
          </c:tx>
          <c:invertIfNegative val="0"/>
          <c:cat>
            <c:strRef>
              <c:f>'III.1.7.Proy. afil.Vs pobl.'!$A$5:$A$23</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pobl.'!$D$5:$D$23</c:f>
              <c:numCache>
                <c:formatCode>0.0%</c:formatCode>
                <c:ptCount val="17"/>
                <c:pt idx="0">
                  <c:v>0.18818966332387169</c:v>
                </c:pt>
                <c:pt idx="1">
                  <c:v>0.23175216273521579</c:v>
                </c:pt>
                <c:pt idx="2">
                  <c:v>0.26697953683081632</c:v>
                </c:pt>
                <c:pt idx="3">
                  <c:v>0.31636118773580035</c:v>
                </c:pt>
                <c:pt idx="4">
                  <c:v>0.3754811426828833</c:v>
                </c:pt>
                <c:pt idx="5">
                  <c:v>0.46573781055707314</c:v>
                </c:pt>
                <c:pt idx="6">
                  <c:v>0.47646973903815903</c:v>
                </c:pt>
                <c:pt idx="7">
                  <c:v>0.52212057723261962</c:v>
                </c:pt>
                <c:pt idx="8">
                  <c:v>0.57647276899106747</c:v>
                </c:pt>
                <c:pt idx="9">
                  <c:v>0.6262448123856017</c:v>
                </c:pt>
                <c:pt idx="10">
                  <c:v>0.683844671918309</c:v>
                </c:pt>
                <c:pt idx="11">
                  <c:v>0.74061333216882463</c:v>
                </c:pt>
                <c:pt idx="12">
                  <c:v>0.79637968563584594</c:v>
                </c:pt>
                <c:pt idx="13">
                  <c:v>0.8511859065288282</c:v>
                </c:pt>
                <c:pt idx="14">
                  <c:v>0.90510775250914333</c:v>
                </c:pt>
                <c:pt idx="15">
                  <c:v>0.95818001383356854</c:v>
                </c:pt>
                <c:pt idx="16" formatCode="0%">
                  <c:v>1.0023058321420464</c:v>
                </c:pt>
              </c:numCache>
            </c:numRef>
          </c:val>
        </c:ser>
        <c:dLbls>
          <c:showLegendKey val="0"/>
          <c:showVal val="0"/>
          <c:showCatName val="0"/>
          <c:showSerName val="0"/>
          <c:showPercent val="0"/>
          <c:showBubbleSize val="0"/>
        </c:dLbls>
        <c:gapWidth val="29"/>
        <c:overlap val="82"/>
        <c:axId val="877118976"/>
        <c:axId val="877119760"/>
      </c:barChart>
      <c:lineChart>
        <c:grouping val="standard"/>
        <c:varyColors val="0"/>
        <c:ser>
          <c:idx val="3"/>
          <c:order val="2"/>
          <c:tx>
            <c:strRef>
              <c:f>'III.1.7.Proy. afil.Vs pobl.'!$D$4</c:f>
              <c:strCache>
                <c:ptCount val="1"/>
                <c:pt idx="0">
                  <c:v>% Afiliación SFS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'III.1.7.Proy. afil.Vs pobl.'!$A$5:$A$23</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pobl.'!$D$5:$D$23</c:f>
              <c:numCache>
                <c:formatCode>0.0%</c:formatCode>
                <c:ptCount val="17"/>
                <c:pt idx="0">
                  <c:v>0.18818966332387169</c:v>
                </c:pt>
                <c:pt idx="1">
                  <c:v>0.23175216273521579</c:v>
                </c:pt>
                <c:pt idx="2">
                  <c:v>0.26697953683081632</c:v>
                </c:pt>
                <c:pt idx="3">
                  <c:v>0.31636118773580035</c:v>
                </c:pt>
                <c:pt idx="4">
                  <c:v>0.3754811426828833</c:v>
                </c:pt>
                <c:pt idx="5">
                  <c:v>0.46573781055707314</c:v>
                </c:pt>
                <c:pt idx="6">
                  <c:v>0.47646973903815903</c:v>
                </c:pt>
                <c:pt idx="7">
                  <c:v>0.52212057723261962</c:v>
                </c:pt>
                <c:pt idx="8">
                  <c:v>0.57647276899106747</c:v>
                </c:pt>
                <c:pt idx="9">
                  <c:v>0.6262448123856017</c:v>
                </c:pt>
                <c:pt idx="10">
                  <c:v>0.683844671918309</c:v>
                </c:pt>
                <c:pt idx="11">
                  <c:v>0.74061333216882463</c:v>
                </c:pt>
                <c:pt idx="12">
                  <c:v>0.79637968563584594</c:v>
                </c:pt>
                <c:pt idx="13">
                  <c:v>0.8511859065288282</c:v>
                </c:pt>
                <c:pt idx="14">
                  <c:v>0.90510775250914333</c:v>
                </c:pt>
                <c:pt idx="15">
                  <c:v>0.95818001383356854</c:v>
                </c:pt>
                <c:pt idx="16" formatCode="0%">
                  <c:v>1.0023058321420464</c:v>
                </c:pt>
              </c:numCache>
            </c:numRef>
          </c:val>
          <c:smooth val="0"/>
        </c:ser>
        <c:dLbls>
          <c:showLegendKey val="0"/>
          <c:showVal val="0"/>
          <c:showCatName val="0"/>
          <c:showSerName val="0"/>
          <c:showPercent val="0"/>
          <c:showBubbleSize val="0"/>
        </c:dLbls>
        <c:marker val="1"/>
        <c:smooth val="0"/>
        <c:axId val="877111920"/>
        <c:axId val="877111528"/>
      </c:lineChart>
      <c:catAx>
        <c:axId val="877118976"/>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877119760"/>
        <c:crosses val="autoZero"/>
        <c:auto val="1"/>
        <c:lblAlgn val="ctr"/>
        <c:lblOffset val="100"/>
        <c:noMultiLvlLbl val="0"/>
      </c:catAx>
      <c:valAx>
        <c:axId val="877119760"/>
        <c:scaling>
          <c:orientation val="minMax"/>
        </c:scaling>
        <c:delete val="0"/>
        <c:axPos val="l"/>
        <c:numFmt formatCode="#,##0" sourceLinked="1"/>
        <c:majorTickMark val="out"/>
        <c:minorTickMark val="none"/>
        <c:tickLblPos val="nextTo"/>
        <c:crossAx val="877118976"/>
        <c:crosses val="autoZero"/>
        <c:crossBetween val="between"/>
      </c:valAx>
      <c:valAx>
        <c:axId val="877111528"/>
        <c:scaling>
          <c:orientation val="minMax"/>
          <c:max val="1.1500000000000001"/>
        </c:scaling>
        <c:delete val="0"/>
        <c:axPos val="r"/>
        <c:numFmt formatCode="0.0%" sourceLinked="1"/>
        <c:majorTickMark val="out"/>
        <c:minorTickMark val="none"/>
        <c:tickLblPos val="nextTo"/>
        <c:crossAx val="877111920"/>
        <c:crosses val="max"/>
        <c:crossBetween val="between"/>
        <c:majorUnit val="0.2"/>
      </c:valAx>
      <c:catAx>
        <c:axId val="877111920"/>
        <c:scaling>
          <c:orientation val="minMax"/>
        </c:scaling>
        <c:delete val="1"/>
        <c:axPos val="b"/>
        <c:numFmt formatCode="General" sourceLinked="1"/>
        <c:majorTickMark val="out"/>
        <c:minorTickMark val="none"/>
        <c:tickLblPos val="nextTo"/>
        <c:crossAx val="877111528"/>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376705738037E-2"/>
          <c:y val="0.10776050177184195"/>
          <c:w val="0.97179455498950162"/>
          <c:h val="0.73064715432972827"/>
        </c:manualLayout>
      </c:layout>
      <c:bar3DChart>
        <c:barDir val="col"/>
        <c:grouping val="clustered"/>
        <c:varyColors val="0"/>
        <c:ser>
          <c:idx val="0"/>
          <c:order val="0"/>
          <c:tx>
            <c:strRef>
              <c:f>'V.4.18. EC. x Agente daño'!$J$3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daño'!$J$4:$J$11</c:f>
              <c:numCache>
                <c:formatCode>0.00%</c:formatCode>
                <c:ptCount val="8"/>
                <c:pt idx="0">
                  <c:v>8.184900806797365E-4</c:v>
                </c:pt>
                <c:pt idx="1">
                  <c:v>7.8341193436489067E-3</c:v>
                </c:pt>
                <c:pt idx="2">
                  <c:v>3.2927985864806227E-2</c:v>
                </c:pt>
                <c:pt idx="3">
                  <c:v>9.2898624157150098E-2</c:v>
                </c:pt>
                <c:pt idx="4">
                  <c:v>0.13924075301087421</c:v>
                </c:pt>
                <c:pt idx="5">
                  <c:v>0.23182107546998221</c:v>
                </c:pt>
                <c:pt idx="6">
                  <c:v>0.22529913863662937</c:v>
                </c:pt>
                <c:pt idx="7">
                  <c:v>0.26915981343622924</c:v>
                </c:pt>
              </c:numCache>
            </c:numRef>
          </c:val>
        </c:ser>
        <c:dLbls>
          <c:showLegendKey val="0"/>
          <c:showVal val="0"/>
          <c:showCatName val="0"/>
          <c:showSerName val="0"/>
          <c:showPercent val="0"/>
          <c:showBubbleSize val="0"/>
        </c:dLbls>
        <c:gapWidth val="75"/>
        <c:shape val="cylinder"/>
        <c:axId val="893509880"/>
        <c:axId val="893510272"/>
        <c:axId val="0"/>
      </c:bar3DChart>
      <c:catAx>
        <c:axId val="893509880"/>
        <c:scaling>
          <c:orientation val="minMax"/>
        </c:scaling>
        <c:delete val="0"/>
        <c:axPos val="b"/>
        <c:numFmt formatCode="General" sourceLinked="1"/>
        <c:majorTickMark val="none"/>
        <c:minorTickMark val="none"/>
        <c:tickLblPos val="nextTo"/>
        <c:txPr>
          <a:bodyPr/>
          <a:lstStyle/>
          <a:p>
            <a:pPr>
              <a:defRPr sz="1400" b="1"/>
            </a:pPr>
            <a:endParaRPr lang="es-ES"/>
          </a:p>
        </c:txPr>
        <c:crossAx val="893510272"/>
        <c:crosses val="autoZero"/>
        <c:auto val="1"/>
        <c:lblAlgn val="ctr"/>
        <c:lblOffset val="100"/>
        <c:noMultiLvlLbl val="0"/>
      </c:catAx>
      <c:valAx>
        <c:axId val="893510272"/>
        <c:scaling>
          <c:orientation val="minMax"/>
        </c:scaling>
        <c:delete val="1"/>
        <c:axPos val="l"/>
        <c:numFmt formatCode="0.00%" sourceLinked="1"/>
        <c:majorTickMark val="out"/>
        <c:minorTickMark val="none"/>
        <c:tickLblPos val="nextTo"/>
        <c:crossAx val="89350988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6575290508340512E-2"/>
          <c:y val="0.13986823913693805"/>
          <c:w val="0.92478749268995164"/>
          <c:h val="0.62970451344944522"/>
        </c:manualLayout>
      </c:layout>
      <c:bar3DChart>
        <c:barDir val="col"/>
        <c:grouping val="clustered"/>
        <c:varyColors val="0"/>
        <c:ser>
          <c:idx val="0"/>
          <c:order val="0"/>
          <c:tx>
            <c:strRef>
              <c:f>'V.4.19. EC. x  lugar de accid.'!$J$3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0.00%</c:formatCode>
                <c:ptCount val="9"/>
                <c:pt idx="0">
                  <c:v>3.074534564966026E-2</c:v>
                </c:pt>
                <c:pt idx="1">
                  <c:v>0.40979070039365473</c:v>
                </c:pt>
                <c:pt idx="2">
                  <c:v>3.4038793831443013E-3</c:v>
                </c:pt>
                <c:pt idx="3">
                  <c:v>2.9757960790427564E-2</c:v>
                </c:pt>
                <c:pt idx="4">
                  <c:v>3.2804562757402136E-2</c:v>
                </c:pt>
                <c:pt idx="5">
                  <c:v>6.9896454508840992E-3</c:v>
                </c:pt>
                <c:pt idx="6">
                  <c:v>5.5637837627158279E-2</c:v>
                </c:pt>
                <c:pt idx="7">
                  <c:v>0.26801002975146482</c:v>
                </c:pt>
                <c:pt idx="8">
                  <c:v>0.16286003819620376</c:v>
                </c:pt>
              </c:numCache>
            </c:numRef>
          </c:val>
        </c:ser>
        <c:dLbls>
          <c:showLegendKey val="0"/>
          <c:showVal val="0"/>
          <c:showCatName val="0"/>
          <c:showSerName val="0"/>
          <c:showPercent val="0"/>
          <c:showBubbleSize val="0"/>
        </c:dLbls>
        <c:gapWidth val="45"/>
        <c:shape val="cylinder"/>
        <c:axId val="893511056"/>
        <c:axId val="893511448"/>
        <c:axId val="0"/>
      </c:bar3DChart>
      <c:catAx>
        <c:axId val="893511056"/>
        <c:scaling>
          <c:orientation val="minMax"/>
        </c:scaling>
        <c:delete val="0"/>
        <c:axPos val="b"/>
        <c:numFmt formatCode="General" sourceLinked="1"/>
        <c:majorTickMark val="none"/>
        <c:minorTickMark val="none"/>
        <c:tickLblPos val="nextTo"/>
        <c:txPr>
          <a:bodyPr/>
          <a:lstStyle/>
          <a:p>
            <a:pPr>
              <a:defRPr sz="1600" b="1"/>
            </a:pPr>
            <a:endParaRPr lang="es-ES"/>
          </a:p>
        </c:txPr>
        <c:crossAx val="893511448"/>
        <c:crosses val="autoZero"/>
        <c:auto val="1"/>
        <c:lblAlgn val="ctr"/>
        <c:lblOffset val="100"/>
        <c:noMultiLvlLbl val="0"/>
      </c:catAx>
      <c:valAx>
        <c:axId val="893511448"/>
        <c:scaling>
          <c:orientation val="minMax"/>
        </c:scaling>
        <c:delete val="1"/>
        <c:axPos val="l"/>
        <c:numFmt formatCode="0.00%" sourceLinked="1"/>
        <c:majorTickMark val="out"/>
        <c:minorTickMark val="none"/>
        <c:tickLblPos val="nextTo"/>
        <c:crossAx val="89351105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Accidentes Laborales con Lesiones Discapacitantes                                                                                                                                                                                                              </a:t>
            </a:r>
            <a:endParaRPr lang="es-ES">
              <a:effectLst/>
            </a:endParaRPr>
          </a:p>
        </c:rich>
      </c:tx>
      <c:layout>
        <c:manualLayout>
          <c:xMode val="edge"/>
          <c:yMode val="edge"/>
          <c:x val="0.31210277946739268"/>
          <c:y val="4.434389245600153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893503751124595E-3"/>
          <c:y val="0.2004027247097519"/>
          <c:w val="0.98356898305645779"/>
          <c:h val="0.65339655579887557"/>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8316839791157634E-2"/>
                  <c:y val="-3.004776736731790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5423422716348317E-2"/>
                  <c:y val="-2.730217045645935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13205644392993E-2"/>
                  <c:y val="-3.13381796258519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233413121353736E-2"/>
                  <c:y val="-2.369979035165351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505148978628475E-2"/>
                  <c:y val="-2.111613926476259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416005041223451E-2"/>
                  <c:y val="-2.322775319123889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4080739682137629E-2"/>
                  <c:y val="-2.95625949706676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incapac.'!$A$4:$A$10</c:f>
              <c:strCache>
                <c:ptCount val="7"/>
                <c:pt idx="0">
                  <c:v>2009</c:v>
                </c:pt>
                <c:pt idx="1">
                  <c:v>2010</c:v>
                </c:pt>
                <c:pt idx="2">
                  <c:v>2011</c:v>
                </c:pt>
                <c:pt idx="3">
                  <c:v>2012</c:v>
                </c:pt>
                <c:pt idx="4">
                  <c:v>2013</c:v>
                </c:pt>
                <c:pt idx="5">
                  <c:v>2014</c:v>
                </c:pt>
                <c:pt idx="6">
                  <c:v>Ene-Jun.2015</c:v>
                </c:pt>
              </c:strCache>
            </c:strRef>
          </c:cat>
          <c:val>
            <c:numRef>
              <c:f>'V.4.20.EC. Accid incapac.'!$B$4:$B$10</c:f>
              <c:numCache>
                <c:formatCode>_(* #,##0_);_(* \(#,##0\);_(* "-"??_);_(@_)</c:formatCode>
                <c:ptCount val="7"/>
                <c:pt idx="0">
                  <c:v>10456</c:v>
                </c:pt>
                <c:pt idx="1">
                  <c:v>13140</c:v>
                </c:pt>
                <c:pt idx="2">
                  <c:v>17313</c:v>
                </c:pt>
                <c:pt idx="3">
                  <c:v>20883</c:v>
                </c:pt>
                <c:pt idx="4">
                  <c:v>22389</c:v>
                </c:pt>
                <c:pt idx="5">
                  <c:v>25583</c:v>
                </c:pt>
                <c:pt idx="6">
                  <c:v>13927</c:v>
                </c:pt>
              </c:numCache>
            </c:numRef>
          </c:val>
        </c:ser>
        <c:dLbls>
          <c:showLegendKey val="0"/>
          <c:showVal val="0"/>
          <c:showCatName val="0"/>
          <c:showSerName val="0"/>
          <c:showPercent val="0"/>
          <c:showBubbleSize val="0"/>
        </c:dLbls>
        <c:gapWidth val="65"/>
        <c:shape val="cylinder"/>
        <c:axId val="893512232"/>
        <c:axId val="893512624"/>
        <c:axId val="0"/>
      </c:bar3DChart>
      <c:catAx>
        <c:axId val="893512232"/>
        <c:scaling>
          <c:orientation val="minMax"/>
        </c:scaling>
        <c:delete val="0"/>
        <c:axPos val="b"/>
        <c:numFmt formatCode="General" sourceLinked="1"/>
        <c:majorTickMark val="out"/>
        <c:minorTickMark val="none"/>
        <c:tickLblPos val="nextTo"/>
        <c:txPr>
          <a:bodyPr/>
          <a:lstStyle/>
          <a:p>
            <a:pPr>
              <a:defRPr sz="1600"/>
            </a:pPr>
            <a:endParaRPr lang="es-ES"/>
          </a:p>
        </c:txPr>
        <c:crossAx val="893512624"/>
        <c:crosses val="autoZero"/>
        <c:auto val="1"/>
        <c:lblAlgn val="ctr"/>
        <c:lblOffset val="100"/>
        <c:noMultiLvlLbl val="0"/>
      </c:catAx>
      <c:valAx>
        <c:axId val="893512624"/>
        <c:scaling>
          <c:orientation val="minMax"/>
        </c:scaling>
        <c:delete val="1"/>
        <c:axPos val="l"/>
        <c:numFmt formatCode="_(* #,##0_);_(* \(#,##0\);_(* &quot;-&quot;??_);_(@_)" sourceLinked="1"/>
        <c:majorTickMark val="out"/>
        <c:minorTickMark val="none"/>
        <c:tickLblPos val="nextTo"/>
        <c:crossAx val="89351223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316724339523461E-3"/>
          <c:y val="0.24191499711876924"/>
          <c:w val="0.99071596262011274"/>
          <c:h val="0.65912627661387269"/>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(R)'!$A$4:$A$10</c:f>
              <c:strCache>
                <c:ptCount val="7"/>
                <c:pt idx="0">
                  <c:v>2009</c:v>
                </c:pt>
                <c:pt idx="1">
                  <c:v>2010</c:v>
                </c:pt>
                <c:pt idx="2">
                  <c:v>2011</c:v>
                </c:pt>
                <c:pt idx="3">
                  <c:v>2012</c:v>
                </c:pt>
                <c:pt idx="4">
                  <c:v>2013</c:v>
                </c:pt>
                <c:pt idx="5">
                  <c:v>2014</c:v>
                </c:pt>
                <c:pt idx="6">
                  <c:v>Ene - Jun. 2015</c:v>
                </c:pt>
              </c:strCache>
            </c:strRef>
          </c:cat>
          <c:val>
            <c:numRef>
              <c:f>'V.4.21. EC. Enferm. Prof (R)'!$E$4:$E$10</c:f>
              <c:numCache>
                <c:formatCode>0.0%</c:formatCode>
                <c:ptCount val="7"/>
                <c:pt idx="0">
                  <c:v>0.54081632653061229</c:v>
                </c:pt>
                <c:pt idx="1">
                  <c:v>0.38306451612903225</c:v>
                </c:pt>
                <c:pt idx="2">
                  <c:v>0.57215189873417727</c:v>
                </c:pt>
                <c:pt idx="3">
                  <c:v>0.4321266968325792</c:v>
                </c:pt>
                <c:pt idx="4">
                  <c:v>0.23505976095617531</c:v>
                </c:pt>
                <c:pt idx="5">
                  <c:v>0.2890995260663507</c:v>
                </c:pt>
                <c:pt idx="6">
                  <c:v>0.29518072289156627</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7.0248199159542385E-3"/>
                  <c:y val="-3.1519065063457558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9801731362145423E-3"/>
                  <c:y val="-3.151906506345755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(R)'!$A$4:$A$10</c:f>
              <c:strCache>
                <c:ptCount val="7"/>
                <c:pt idx="0">
                  <c:v>2009</c:v>
                </c:pt>
                <c:pt idx="1">
                  <c:v>2010</c:v>
                </c:pt>
                <c:pt idx="2">
                  <c:v>2011</c:v>
                </c:pt>
                <c:pt idx="3">
                  <c:v>2012</c:v>
                </c:pt>
                <c:pt idx="4">
                  <c:v>2013</c:v>
                </c:pt>
                <c:pt idx="5">
                  <c:v>2014</c:v>
                </c:pt>
                <c:pt idx="6">
                  <c:v>Ene - Jun. 2015</c:v>
                </c:pt>
              </c:strCache>
            </c:strRef>
          </c:cat>
          <c:val>
            <c:numRef>
              <c:f>'V.4.21. EC. Enferm. Prof (R)'!$F$4:$F$10</c:f>
              <c:numCache>
                <c:formatCode>0.0%</c:formatCode>
                <c:ptCount val="7"/>
                <c:pt idx="0">
                  <c:v>0.45918367346938777</c:v>
                </c:pt>
                <c:pt idx="1">
                  <c:v>0.61693548387096775</c:v>
                </c:pt>
                <c:pt idx="2">
                  <c:v>0.42784810126582279</c:v>
                </c:pt>
                <c:pt idx="3">
                  <c:v>0.5678733031674208</c:v>
                </c:pt>
                <c:pt idx="4">
                  <c:v>0.76494023904382469</c:v>
                </c:pt>
                <c:pt idx="5">
                  <c:v>0.7109004739336493</c:v>
                </c:pt>
                <c:pt idx="6">
                  <c:v>0.70481927710843373</c:v>
                </c:pt>
              </c:numCache>
            </c:numRef>
          </c:val>
        </c:ser>
        <c:dLbls>
          <c:showLegendKey val="0"/>
          <c:showVal val="0"/>
          <c:showCatName val="0"/>
          <c:showSerName val="0"/>
          <c:showPercent val="0"/>
          <c:showBubbleSize val="0"/>
        </c:dLbls>
        <c:gapWidth val="75"/>
        <c:shape val="cylinder"/>
        <c:axId val="893513408"/>
        <c:axId val="893513800"/>
        <c:axId val="0"/>
      </c:bar3DChart>
      <c:catAx>
        <c:axId val="893513408"/>
        <c:scaling>
          <c:orientation val="minMax"/>
        </c:scaling>
        <c:delete val="0"/>
        <c:axPos val="b"/>
        <c:numFmt formatCode="General" sourceLinked="1"/>
        <c:majorTickMark val="none"/>
        <c:minorTickMark val="none"/>
        <c:tickLblPos val="nextTo"/>
        <c:txPr>
          <a:bodyPr/>
          <a:lstStyle/>
          <a:p>
            <a:pPr>
              <a:defRPr sz="1600"/>
            </a:pPr>
            <a:endParaRPr lang="es-ES"/>
          </a:p>
        </c:txPr>
        <c:crossAx val="893513800"/>
        <c:crosses val="autoZero"/>
        <c:auto val="1"/>
        <c:lblAlgn val="ctr"/>
        <c:lblOffset val="100"/>
        <c:noMultiLvlLbl val="0"/>
      </c:catAx>
      <c:valAx>
        <c:axId val="893513800"/>
        <c:scaling>
          <c:orientation val="minMax"/>
        </c:scaling>
        <c:delete val="1"/>
        <c:axPos val="l"/>
        <c:numFmt formatCode="0.0%" sourceLinked="1"/>
        <c:majorTickMark val="out"/>
        <c:minorTickMark val="none"/>
        <c:tickLblPos val="nextTo"/>
        <c:crossAx val="893513408"/>
        <c:crosses val="autoZero"/>
        <c:crossBetween val="between"/>
      </c:valAx>
      <c:spPr>
        <a:noFill/>
        <a:ln w="25400">
          <a:noFill/>
        </a:ln>
      </c:spPr>
    </c:plotArea>
    <c:legend>
      <c:legendPos val="t"/>
      <c:layout>
        <c:manualLayout>
          <c:xMode val="edge"/>
          <c:yMode val="edge"/>
          <c:x val="0.17403302281752545"/>
          <c:y val="0.11730521388929596"/>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19903158476686089"/>
          <c:w val="0.98411360117194258"/>
          <c:h val="0.68781218470669758"/>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Lab.(R)'!$A$4:$A$10</c:f>
              <c:strCache>
                <c:ptCount val="7"/>
                <c:pt idx="0">
                  <c:v>2009</c:v>
                </c:pt>
                <c:pt idx="1">
                  <c:v>2010</c:v>
                </c:pt>
                <c:pt idx="2">
                  <c:v>2011</c:v>
                </c:pt>
                <c:pt idx="3">
                  <c:v>2012</c:v>
                </c:pt>
                <c:pt idx="4">
                  <c:v>2013</c:v>
                </c:pt>
                <c:pt idx="5">
                  <c:v>2014</c:v>
                </c:pt>
                <c:pt idx="6">
                  <c:v>Ene-Jun. 2015</c:v>
                </c:pt>
              </c:strCache>
            </c:strRef>
          </c:cat>
          <c:val>
            <c:numRef>
              <c:f>'V.4.22.EC. Accid Lab.(R)'!$E$4:$E$10</c:f>
              <c:numCache>
                <c:formatCode>0.0%</c:formatCode>
                <c:ptCount val="7"/>
                <c:pt idx="0">
                  <c:v>0.58940397350993379</c:v>
                </c:pt>
                <c:pt idx="1">
                  <c:v>0.6095890410958904</c:v>
                </c:pt>
                <c:pt idx="2">
                  <c:v>0.5</c:v>
                </c:pt>
                <c:pt idx="3">
                  <c:v>0.36885245901639346</c:v>
                </c:pt>
                <c:pt idx="4">
                  <c:v>0.37264150943396224</c:v>
                </c:pt>
                <c:pt idx="5">
                  <c:v>0.36464088397790057</c:v>
                </c:pt>
                <c:pt idx="6">
                  <c:v>0.28260869565217389</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Lab.(R)'!$A$4:$A$10</c:f>
              <c:strCache>
                <c:ptCount val="7"/>
                <c:pt idx="0">
                  <c:v>2009</c:v>
                </c:pt>
                <c:pt idx="1">
                  <c:v>2010</c:v>
                </c:pt>
                <c:pt idx="2">
                  <c:v>2011</c:v>
                </c:pt>
                <c:pt idx="3">
                  <c:v>2012</c:v>
                </c:pt>
                <c:pt idx="4">
                  <c:v>2013</c:v>
                </c:pt>
                <c:pt idx="5">
                  <c:v>2014</c:v>
                </c:pt>
                <c:pt idx="6">
                  <c:v>Ene-Jun. 2015</c:v>
                </c:pt>
              </c:strCache>
            </c:strRef>
          </c:cat>
          <c:val>
            <c:numRef>
              <c:f>'V.4.22.EC. Accid Lab.(R)'!$F$4:$F$10</c:f>
              <c:numCache>
                <c:formatCode>0.0%</c:formatCode>
                <c:ptCount val="7"/>
                <c:pt idx="0">
                  <c:v>0.37748344370860926</c:v>
                </c:pt>
                <c:pt idx="1">
                  <c:v>0.3904109589041096</c:v>
                </c:pt>
                <c:pt idx="2">
                  <c:v>0.5</c:v>
                </c:pt>
                <c:pt idx="3">
                  <c:v>0.63114754098360659</c:v>
                </c:pt>
                <c:pt idx="4">
                  <c:v>0.62735849056603776</c:v>
                </c:pt>
                <c:pt idx="5">
                  <c:v>0.63535911602209949</c:v>
                </c:pt>
                <c:pt idx="6">
                  <c:v>0.71739130434782605</c:v>
                </c:pt>
              </c:numCache>
            </c:numRef>
          </c:val>
        </c:ser>
        <c:dLbls>
          <c:showLegendKey val="0"/>
          <c:showVal val="0"/>
          <c:showCatName val="0"/>
          <c:showSerName val="0"/>
          <c:showPercent val="0"/>
          <c:showBubbleSize val="0"/>
        </c:dLbls>
        <c:gapWidth val="75"/>
        <c:shape val="cylinder"/>
        <c:axId val="893514584"/>
        <c:axId val="893514976"/>
        <c:axId val="0"/>
      </c:bar3DChart>
      <c:catAx>
        <c:axId val="893514584"/>
        <c:scaling>
          <c:orientation val="minMax"/>
        </c:scaling>
        <c:delete val="0"/>
        <c:axPos val="b"/>
        <c:numFmt formatCode="General" sourceLinked="1"/>
        <c:majorTickMark val="none"/>
        <c:minorTickMark val="none"/>
        <c:tickLblPos val="nextTo"/>
        <c:txPr>
          <a:bodyPr/>
          <a:lstStyle/>
          <a:p>
            <a:pPr>
              <a:defRPr sz="1400"/>
            </a:pPr>
            <a:endParaRPr lang="es-ES"/>
          </a:p>
        </c:txPr>
        <c:crossAx val="893514976"/>
        <c:crosses val="autoZero"/>
        <c:auto val="1"/>
        <c:lblAlgn val="ctr"/>
        <c:lblOffset val="100"/>
        <c:noMultiLvlLbl val="0"/>
      </c:catAx>
      <c:valAx>
        <c:axId val="893514976"/>
        <c:scaling>
          <c:orientation val="minMax"/>
        </c:scaling>
        <c:delete val="1"/>
        <c:axPos val="l"/>
        <c:numFmt formatCode="0.0%" sourceLinked="1"/>
        <c:majorTickMark val="out"/>
        <c:minorTickMark val="none"/>
        <c:tickLblPos val="nextTo"/>
        <c:crossAx val="893514584"/>
        <c:crosses val="autoZero"/>
        <c:crossBetween val="between"/>
      </c:valAx>
      <c:spPr>
        <a:noFill/>
        <a:ln w="25400">
          <a:noFill/>
        </a:ln>
      </c:spPr>
    </c:plotArea>
    <c:legend>
      <c:legendPos val="t"/>
      <c:layout>
        <c:manualLayout>
          <c:xMode val="edge"/>
          <c:yMode val="edge"/>
          <c:x val="0.25878653411565405"/>
          <c:y val="0.1068510419933017"/>
          <c:w val="0.47108656826809947"/>
          <c:h val="4.132523889033572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0069041036937149E-2"/>
          <c:y val="0.24967967718799844"/>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Lst>
            </c:dLbl>
            <c:dLbl>
              <c:idx val="3"/>
              <c:spPr/>
              <c:txPr>
                <a:bodyPr/>
                <a:lstStyle/>
                <a:p>
                  <a:pPr>
                    <a:defRPr sz="1200" b="0"/>
                  </a:pPr>
                  <a:endParaRPr lang="es-ES"/>
                </a:p>
              </c:txPr>
              <c:showLegendKey val="0"/>
              <c:showVal val="1"/>
              <c:showCatName val="0"/>
              <c:showSerName val="0"/>
              <c:showPercent val="0"/>
              <c:showBubbleSize val="0"/>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Ene-Jun.2015</c:v>
                </c:pt>
              </c:strCache>
            </c:strRef>
          </c:cat>
          <c:val>
            <c:numRef>
              <c:f>'V.4.23. Accid. Aprobxtipo'!$G$4:$G$10</c:f>
              <c:numCache>
                <c:formatCode>0.00%</c:formatCode>
                <c:ptCount val="7"/>
                <c:pt idx="0">
                  <c:v>0.52307692307692311</c:v>
                </c:pt>
                <c:pt idx="1">
                  <c:v>0.2247191011235955</c:v>
                </c:pt>
                <c:pt idx="2">
                  <c:v>0.33720930232558138</c:v>
                </c:pt>
                <c:pt idx="3">
                  <c:v>0.33333333333333331</c:v>
                </c:pt>
                <c:pt idx="4">
                  <c:v>0.50632911392405067</c:v>
                </c:pt>
                <c:pt idx="5">
                  <c:v>0.46969696969696972</c:v>
                </c:pt>
                <c:pt idx="6">
                  <c:v>0.48717948717948717</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8675901394404234E-3"/>
                  <c:y val="-8.23114880588398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Ene-Jun.2015</c:v>
                </c:pt>
              </c:strCache>
            </c:strRef>
          </c:cat>
          <c:val>
            <c:numRef>
              <c:f>'V.4.23. Accid. Aprobxtipo'!$H$4:$H$10</c:f>
              <c:numCache>
                <c:formatCode>0.00%</c:formatCode>
                <c:ptCount val="7"/>
                <c:pt idx="0">
                  <c:v>0.43076923076923079</c:v>
                </c:pt>
                <c:pt idx="1">
                  <c:v>0.7191011235955056</c:v>
                </c:pt>
                <c:pt idx="2">
                  <c:v>0.62790697674418605</c:v>
                </c:pt>
                <c:pt idx="3">
                  <c:v>0.57777777777777772</c:v>
                </c:pt>
                <c:pt idx="4">
                  <c:v>0.48101265822784811</c:v>
                </c:pt>
                <c:pt idx="5">
                  <c:v>0.48484848484848486</c:v>
                </c:pt>
                <c:pt idx="6">
                  <c:v>0.51282051282051277</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Ene-Jun.2015</c:v>
                </c:pt>
              </c:strCache>
            </c:strRef>
          </c:cat>
          <c:val>
            <c:numRef>
              <c:f>'V.4.23. Accid. Aprobxtipo'!$I$4:$I$10</c:f>
              <c:numCache>
                <c:formatCode>0.00%</c:formatCode>
                <c:ptCount val="7"/>
                <c:pt idx="0">
                  <c:v>3.0769230769230771E-2</c:v>
                </c:pt>
                <c:pt idx="1">
                  <c:v>5.6179775280898875E-2</c:v>
                </c:pt>
                <c:pt idx="2">
                  <c:v>3.4883720930232558E-2</c:v>
                </c:pt>
                <c:pt idx="3">
                  <c:v>8.8888888888888892E-2</c:v>
                </c:pt>
                <c:pt idx="4">
                  <c:v>1.2658227848101266E-2</c:v>
                </c:pt>
                <c:pt idx="5">
                  <c:v>4.5454545454545456E-2</c:v>
                </c:pt>
                <c:pt idx="6">
                  <c:v>0</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Ene-Jun.2015</c:v>
                </c:pt>
              </c:strCache>
            </c:strRef>
          </c:cat>
          <c:val>
            <c:numRef>
              <c:f>'V.4.23. Accid. Aprobxtipo'!$J$4:$J$10</c:f>
              <c:numCache>
                <c:formatCode>0.00%</c:formatCode>
                <c:ptCount val="7"/>
                <c:pt idx="0">
                  <c:v>1.5384615384615385E-2</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75"/>
        <c:shape val="cylinder"/>
        <c:axId val="893515760"/>
        <c:axId val="893516152"/>
        <c:axId val="0"/>
      </c:bar3DChart>
      <c:catAx>
        <c:axId val="893515760"/>
        <c:scaling>
          <c:orientation val="minMax"/>
        </c:scaling>
        <c:delete val="0"/>
        <c:axPos val="b"/>
        <c:numFmt formatCode="General" sourceLinked="1"/>
        <c:majorTickMark val="none"/>
        <c:minorTickMark val="none"/>
        <c:tickLblPos val="nextTo"/>
        <c:crossAx val="893516152"/>
        <c:crosses val="autoZero"/>
        <c:auto val="1"/>
        <c:lblAlgn val="ctr"/>
        <c:lblOffset val="100"/>
        <c:noMultiLvlLbl val="0"/>
      </c:catAx>
      <c:valAx>
        <c:axId val="893516152"/>
        <c:scaling>
          <c:orientation val="minMax"/>
        </c:scaling>
        <c:delete val="0"/>
        <c:axPos val="l"/>
        <c:numFmt formatCode="0.00%" sourceLinked="1"/>
        <c:majorTickMark val="none"/>
        <c:minorTickMark val="none"/>
        <c:tickLblPos val="nextTo"/>
        <c:spPr>
          <a:ln w="9525">
            <a:noFill/>
          </a:ln>
        </c:spPr>
        <c:crossAx val="893515760"/>
        <c:crosses val="autoZero"/>
        <c:crossBetween val="between"/>
      </c:valAx>
      <c:spPr>
        <a:noFill/>
        <a:ln w="25400">
          <a:noFill/>
        </a:ln>
      </c:spPr>
    </c:plotArea>
    <c:legend>
      <c:legendPos val="t"/>
      <c:layout>
        <c:manualLayout>
          <c:xMode val="edge"/>
          <c:yMode val="edge"/>
          <c:x val="0.2412704757269781"/>
          <c:y val="9.2768668264275253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'!$A$4:$A$10</c:f>
              <c:strCache>
                <c:ptCount val="7"/>
                <c:pt idx="0">
                  <c:v>2009</c:v>
                </c:pt>
                <c:pt idx="1">
                  <c:v>2010</c:v>
                </c:pt>
                <c:pt idx="2">
                  <c:v>2011</c:v>
                </c:pt>
                <c:pt idx="3">
                  <c:v>2012</c:v>
                </c:pt>
                <c:pt idx="4">
                  <c:v>2013</c:v>
                </c:pt>
                <c:pt idx="5">
                  <c:v>2014</c:v>
                </c:pt>
                <c:pt idx="6">
                  <c:v>Ene-Jun.2015</c:v>
                </c:pt>
              </c:strCache>
            </c:strRef>
          </c:cat>
          <c:val>
            <c:numRef>
              <c:f>'V.4.24. Accid. Aprob xLesión '!$G$4:$G$10</c:f>
              <c:numCache>
                <c:formatCode>0.00%</c:formatCode>
                <c:ptCount val="7"/>
                <c:pt idx="0">
                  <c:v>0.16923076923076924</c:v>
                </c:pt>
                <c:pt idx="1">
                  <c:v>7.8651685393258425E-2</c:v>
                </c:pt>
                <c:pt idx="2">
                  <c:v>6.9767441860465115E-2</c:v>
                </c:pt>
                <c:pt idx="3">
                  <c:v>0.13333333333333333</c:v>
                </c:pt>
                <c:pt idx="4">
                  <c:v>0.10126582278481013</c:v>
                </c:pt>
                <c:pt idx="5">
                  <c:v>0.10606060606060606</c:v>
                </c:pt>
                <c:pt idx="6">
                  <c:v>0.25641025641025639</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'!$A$4:$A$10</c:f>
              <c:strCache>
                <c:ptCount val="7"/>
                <c:pt idx="0">
                  <c:v>2009</c:v>
                </c:pt>
                <c:pt idx="1">
                  <c:v>2010</c:v>
                </c:pt>
                <c:pt idx="2">
                  <c:v>2011</c:v>
                </c:pt>
                <c:pt idx="3">
                  <c:v>2012</c:v>
                </c:pt>
                <c:pt idx="4">
                  <c:v>2013</c:v>
                </c:pt>
                <c:pt idx="5">
                  <c:v>2014</c:v>
                </c:pt>
                <c:pt idx="6">
                  <c:v>Ene-Jun.2015</c:v>
                </c:pt>
              </c:strCache>
            </c:strRef>
          </c:cat>
          <c:val>
            <c:numRef>
              <c:f>'V.4.24. Accid. Aprob xLesión '!$H$4:$H$10</c:f>
              <c:numCache>
                <c:formatCode>0.00%</c:formatCode>
                <c:ptCount val="7"/>
                <c:pt idx="0">
                  <c:v>0.76923076923076927</c:v>
                </c:pt>
                <c:pt idx="1">
                  <c:v>0.6741573033707865</c:v>
                </c:pt>
                <c:pt idx="2">
                  <c:v>0.7441860465116279</c:v>
                </c:pt>
                <c:pt idx="3">
                  <c:v>0.57777777777777772</c:v>
                </c:pt>
                <c:pt idx="4">
                  <c:v>0.73417721518987344</c:v>
                </c:pt>
                <c:pt idx="5">
                  <c:v>0.74242424242424243</c:v>
                </c:pt>
                <c:pt idx="6">
                  <c:v>0.66666666666666663</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'!$A$4:$A$10</c:f>
              <c:strCache>
                <c:ptCount val="7"/>
                <c:pt idx="0">
                  <c:v>2009</c:v>
                </c:pt>
                <c:pt idx="1">
                  <c:v>2010</c:v>
                </c:pt>
                <c:pt idx="2">
                  <c:v>2011</c:v>
                </c:pt>
                <c:pt idx="3">
                  <c:v>2012</c:v>
                </c:pt>
                <c:pt idx="4">
                  <c:v>2013</c:v>
                </c:pt>
                <c:pt idx="5">
                  <c:v>2014</c:v>
                </c:pt>
                <c:pt idx="6">
                  <c:v>Ene-Jun.2015</c:v>
                </c:pt>
              </c:strCache>
            </c:strRef>
          </c:cat>
          <c:val>
            <c:numRef>
              <c:f>'V.4.24. Accid. Aprob xLesión '!$I$4:$I$10</c:f>
              <c:numCache>
                <c:formatCode>0.00%</c:formatCode>
                <c:ptCount val="7"/>
                <c:pt idx="0">
                  <c:v>3.0769230769230771E-2</c:v>
                </c:pt>
                <c:pt idx="1">
                  <c:v>0.15730337078651685</c:v>
                </c:pt>
                <c:pt idx="2">
                  <c:v>0.11627906976744186</c:v>
                </c:pt>
                <c:pt idx="3">
                  <c:v>0.22222222222222221</c:v>
                </c:pt>
                <c:pt idx="4">
                  <c:v>0.10126582278481013</c:v>
                </c:pt>
                <c:pt idx="5">
                  <c:v>0.12121212121212122</c:v>
                </c:pt>
                <c:pt idx="6">
                  <c:v>7.6923076923076927E-2</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'!$A$4:$A$10</c:f>
              <c:strCache>
                <c:ptCount val="7"/>
                <c:pt idx="0">
                  <c:v>2009</c:v>
                </c:pt>
                <c:pt idx="1">
                  <c:v>2010</c:v>
                </c:pt>
                <c:pt idx="2">
                  <c:v>2011</c:v>
                </c:pt>
                <c:pt idx="3">
                  <c:v>2012</c:v>
                </c:pt>
                <c:pt idx="4">
                  <c:v>2013</c:v>
                </c:pt>
                <c:pt idx="5">
                  <c:v>2014</c:v>
                </c:pt>
                <c:pt idx="6">
                  <c:v>Ene-Jun.2015</c:v>
                </c:pt>
              </c:strCache>
            </c:strRef>
          </c:cat>
          <c:val>
            <c:numRef>
              <c:f>'V.4.24. Accid. Aprob xLesión '!$J$4:$J$10</c:f>
              <c:numCache>
                <c:formatCode>0.00%</c:formatCode>
                <c:ptCount val="7"/>
                <c:pt idx="0">
                  <c:v>3.0769230769230771E-2</c:v>
                </c:pt>
                <c:pt idx="1">
                  <c:v>8.98876404494382E-2</c:v>
                </c:pt>
                <c:pt idx="2">
                  <c:v>6.9767441860465115E-2</c:v>
                </c:pt>
                <c:pt idx="3">
                  <c:v>6.6666666666666666E-2</c:v>
                </c:pt>
                <c:pt idx="4">
                  <c:v>6.3291139240506333E-2</c:v>
                </c:pt>
                <c:pt idx="5">
                  <c:v>3.0303030303030304E-2</c:v>
                </c:pt>
                <c:pt idx="6">
                  <c:v>0</c:v>
                </c:pt>
              </c:numCache>
            </c:numRef>
          </c:val>
        </c:ser>
        <c:dLbls>
          <c:showLegendKey val="0"/>
          <c:showVal val="0"/>
          <c:showCatName val="0"/>
          <c:showSerName val="0"/>
          <c:showPercent val="0"/>
          <c:showBubbleSize val="0"/>
        </c:dLbls>
        <c:gapWidth val="75"/>
        <c:shape val="cylinder"/>
        <c:axId val="893516936"/>
        <c:axId val="893517328"/>
        <c:axId val="0"/>
      </c:bar3DChart>
      <c:catAx>
        <c:axId val="893516936"/>
        <c:scaling>
          <c:orientation val="minMax"/>
        </c:scaling>
        <c:delete val="0"/>
        <c:axPos val="b"/>
        <c:numFmt formatCode="General" sourceLinked="1"/>
        <c:majorTickMark val="none"/>
        <c:minorTickMark val="none"/>
        <c:tickLblPos val="nextTo"/>
        <c:txPr>
          <a:bodyPr/>
          <a:lstStyle/>
          <a:p>
            <a:pPr>
              <a:defRPr sz="1400"/>
            </a:pPr>
            <a:endParaRPr lang="es-ES"/>
          </a:p>
        </c:txPr>
        <c:crossAx val="893517328"/>
        <c:crosses val="autoZero"/>
        <c:auto val="1"/>
        <c:lblAlgn val="ctr"/>
        <c:lblOffset val="100"/>
        <c:noMultiLvlLbl val="0"/>
      </c:catAx>
      <c:valAx>
        <c:axId val="893517328"/>
        <c:scaling>
          <c:orientation val="minMax"/>
        </c:scaling>
        <c:delete val="0"/>
        <c:axPos val="l"/>
        <c:numFmt formatCode="0.00%" sourceLinked="1"/>
        <c:majorTickMark val="none"/>
        <c:minorTickMark val="none"/>
        <c:tickLblPos val="nextTo"/>
        <c:spPr>
          <a:ln w="9525">
            <a:noFill/>
          </a:ln>
        </c:spPr>
        <c:crossAx val="893516936"/>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Ene-Jun.2015</c:v>
                </c:pt>
              </c:strCache>
            </c:strRef>
          </c:cat>
          <c:val>
            <c:numRef>
              <c:f>'V.4.25.Accid.Aprob Según suc.'!$I$4:$I$10</c:f>
              <c:numCache>
                <c:formatCode>0.00%</c:formatCode>
                <c:ptCount val="7"/>
                <c:pt idx="0">
                  <c:v>0.2</c:v>
                </c:pt>
                <c:pt idx="1">
                  <c:v>7.8651685393258425E-2</c:v>
                </c:pt>
                <c:pt idx="2">
                  <c:v>0.16279069767441862</c:v>
                </c:pt>
                <c:pt idx="3">
                  <c:v>2.2222222222222223E-2</c:v>
                </c:pt>
                <c:pt idx="4">
                  <c:v>2.5316455696202531E-2</c:v>
                </c:pt>
                <c:pt idx="5">
                  <c:v>3.0303030303030304E-2</c:v>
                </c:pt>
                <c:pt idx="6">
                  <c:v>2.564102564102564E-2</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Ene-Jun.2015</c:v>
                </c:pt>
              </c:strCache>
            </c:strRef>
          </c:cat>
          <c:val>
            <c:numRef>
              <c:f>'V.4.25.Accid.Aprob Según suc.'!$J$4:$J$10</c:f>
              <c:numCache>
                <c:formatCode>0.00%</c:formatCode>
                <c:ptCount val="7"/>
                <c:pt idx="0">
                  <c:v>6.1538461538461542E-2</c:v>
                </c:pt>
                <c:pt idx="1">
                  <c:v>8.98876404494382E-2</c:v>
                </c:pt>
                <c:pt idx="2">
                  <c:v>6.9767441860465115E-2</c:v>
                </c:pt>
                <c:pt idx="3">
                  <c:v>0</c:v>
                </c:pt>
                <c:pt idx="4">
                  <c:v>2.5316455696202531E-2</c:v>
                </c:pt>
                <c:pt idx="5">
                  <c:v>0.18181818181818182</c:v>
                </c:pt>
                <c:pt idx="6">
                  <c:v>5.128205128205128E-2</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Ene-Jun.2015</c:v>
                </c:pt>
              </c:strCache>
            </c:strRef>
          </c:cat>
          <c:val>
            <c:numRef>
              <c:f>'V.4.25.Accid.Aprob Según suc.'!$K$4:$K$10</c:f>
              <c:numCache>
                <c:formatCode>0.00%</c:formatCode>
                <c:ptCount val="7"/>
                <c:pt idx="0">
                  <c:v>9.2307692307692313E-2</c:v>
                </c:pt>
                <c:pt idx="1">
                  <c:v>0</c:v>
                </c:pt>
                <c:pt idx="2">
                  <c:v>1.1627906976744186E-2</c:v>
                </c:pt>
                <c:pt idx="3">
                  <c:v>0</c:v>
                </c:pt>
                <c:pt idx="4">
                  <c:v>1.2658227848101266E-2</c:v>
                </c:pt>
                <c:pt idx="5">
                  <c:v>1.5151515151515152E-2</c:v>
                </c:pt>
                <c:pt idx="6">
                  <c:v>0</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Ene-Jun.2015</c:v>
                </c:pt>
              </c:strCache>
            </c:strRef>
          </c:cat>
          <c:val>
            <c:numRef>
              <c:f>'V.4.25.Accid.Aprob Según suc.'!$L$4:$L$10</c:f>
              <c:numCache>
                <c:formatCode>0.00%</c:formatCode>
                <c:ptCount val="7"/>
                <c:pt idx="0">
                  <c:v>0.43076923076923079</c:v>
                </c:pt>
                <c:pt idx="1">
                  <c:v>0.6179775280898876</c:v>
                </c:pt>
                <c:pt idx="2">
                  <c:v>0.63953488372093026</c:v>
                </c:pt>
                <c:pt idx="3">
                  <c:v>0.8</c:v>
                </c:pt>
                <c:pt idx="4">
                  <c:v>0.810126582278481</c:v>
                </c:pt>
                <c:pt idx="5">
                  <c:v>0.69696969696969702</c:v>
                </c:pt>
                <c:pt idx="6">
                  <c:v>0.84615384615384615</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Ene-Jun.2015</c:v>
                </c:pt>
              </c:strCache>
            </c:strRef>
          </c:cat>
          <c:val>
            <c:numRef>
              <c:f>'V.4.25.Accid.Aprob Según suc.'!$M$4:$M$10</c:f>
              <c:numCache>
                <c:formatCode>0.00%</c:formatCode>
                <c:ptCount val="7"/>
                <c:pt idx="0">
                  <c:v>0.2153846153846154</c:v>
                </c:pt>
                <c:pt idx="1">
                  <c:v>0.19101123595505617</c:v>
                </c:pt>
                <c:pt idx="2">
                  <c:v>4.6511627906976744E-2</c:v>
                </c:pt>
                <c:pt idx="3">
                  <c:v>2.2222222222222223E-2</c:v>
                </c:pt>
                <c:pt idx="4">
                  <c:v>8.8607594936708861E-2</c:v>
                </c:pt>
                <c:pt idx="5">
                  <c:v>7.575757575757576E-2</c:v>
                </c:pt>
                <c:pt idx="6">
                  <c:v>7.6923076923076927E-2</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Ene-Jun.2015</c:v>
                </c:pt>
              </c:strCache>
            </c:strRef>
          </c:cat>
          <c:val>
            <c:numRef>
              <c:f>'V.4.25.Accid.Aprob Según suc.'!$N$4:$N$10</c:f>
              <c:numCache>
                <c:formatCode>0.00%</c:formatCode>
                <c:ptCount val="7"/>
                <c:pt idx="0">
                  <c:v>0</c:v>
                </c:pt>
                <c:pt idx="1">
                  <c:v>2.247191011235955E-2</c:v>
                </c:pt>
                <c:pt idx="2">
                  <c:v>6.9767441860465115E-2</c:v>
                </c:pt>
                <c:pt idx="3">
                  <c:v>0.15555555555555556</c:v>
                </c:pt>
                <c:pt idx="4">
                  <c:v>3.7974683544303799E-2</c:v>
                </c:pt>
                <c:pt idx="5">
                  <c:v>0</c:v>
                </c:pt>
                <c:pt idx="6">
                  <c:v>0</c:v>
                </c:pt>
              </c:numCache>
            </c:numRef>
          </c:val>
        </c:ser>
        <c:dLbls>
          <c:showLegendKey val="0"/>
          <c:showVal val="0"/>
          <c:showCatName val="0"/>
          <c:showSerName val="0"/>
          <c:showPercent val="0"/>
          <c:showBubbleSize val="0"/>
        </c:dLbls>
        <c:gapWidth val="150"/>
        <c:shape val="cylinder"/>
        <c:axId val="893518112"/>
        <c:axId val="893518504"/>
        <c:axId val="0"/>
      </c:bar3DChart>
      <c:catAx>
        <c:axId val="893518112"/>
        <c:scaling>
          <c:orientation val="minMax"/>
        </c:scaling>
        <c:delete val="0"/>
        <c:axPos val="b"/>
        <c:numFmt formatCode="General" sourceLinked="0"/>
        <c:majorTickMark val="out"/>
        <c:minorTickMark val="none"/>
        <c:tickLblPos val="nextTo"/>
        <c:crossAx val="893518504"/>
        <c:crosses val="autoZero"/>
        <c:auto val="1"/>
        <c:lblAlgn val="ctr"/>
        <c:lblOffset val="100"/>
        <c:noMultiLvlLbl val="0"/>
      </c:catAx>
      <c:valAx>
        <c:axId val="893518504"/>
        <c:scaling>
          <c:orientation val="minMax"/>
        </c:scaling>
        <c:delete val="0"/>
        <c:axPos val="l"/>
        <c:numFmt formatCode="0.00%" sourceLinked="1"/>
        <c:majorTickMark val="out"/>
        <c:minorTickMark val="none"/>
        <c:tickLblPos val="nextTo"/>
        <c:crossAx val="893518112"/>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2326229447480261"/>
          <c:y val="3.6993852112810859E-2"/>
        </c:manualLayout>
      </c:layout>
      <c:overlay val="1"/>
    </c:title>
    <c:autoTitleDeleted val="0"/>
    <c:plotArea>
      <c:layout>
        <c:manualLayout>
          <c:layoutTarget val="inner"/>
          <c:xMode val="edge"/>
          <c:yMode val="edge"/>
          <c:x val="2.0412839979640024E-2"/>
          <c:y val="0.10195260126286775"/>
          <c:w val="0.95414593950321591"/>
          <c:h val="0.78682540572729531"/>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6"/>
              <c:layout>
                <c:manualLayout>
                  <c:x val="-1.2620638898478587E-2"/>
                  <c:y val="0"/>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'VI.2.Status'!$A$4:$A$11</c:f>
              <c:strCache>
                <c:ptCount val="8"/>
                <c:pt idx="0">
                  <c:v>Oct-Dic 2008</c:v>
                </c:pt>
                <c:pt idx="1">
                  <c:v>2009</c:v>
                </c:pt>
                <c:pt idx="2">
                  <c:v>2010</c:v>
                </c:pt>
                <c:pt idx="3">
                  <c:v>2011</c:v>
                </c:pt>
                <c:pt idx="4">
                  <c:v>2012</c:v>
                </c:pt>
                <c:pt idx="5">
                  <c:v>2013</c:v>
                </c:pt>
                <c:pt idx="6">
                  <c:v>2014</c:v>
                </c:pt>
                <c:pt idx="7">
                  <c:v>Ene-Jun. 2015</c:v>
                </c:pt>
              </c:strCache>
            </c:strRef>
          </c:cat>
          <c:val>
            <c:numRef>
              <c:f>'VI.2.Status'!$B$4:$B$11</c:f>
              <c:numCache>
                <c:formatCode>_(* #,##0_);_(* \(#,##0\);_(* "-"??_);_(@_)</c:formatCode>
                <c:ptCount val="8"/>
                <c:pt idx="0">
                  <c:v>107</c:v>
                </c:pt>
                <c:pt idx="1">
                  <c:v>1018</c:v>
                </c:pt>
                <c:pt idx="2">
                  <c:v>1491</c:v>
                </c:pt>
                <c:pt idx="3">
                  <c:v>2085</c:v>
                </c:pt>
                <c:pt idx="4">
                  <c:v>2165</c:v>
                </c:pt>
                <c:pt idx="5">
                  <c:v>1670</c:v>
                </c:pt>
                <c:pt idx="6">
                  <c:v>1561</c:v>
                </c:pt>
                <c:pt idx="7">
                  <c:v>817</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'VI.2.Status'!$A$4:$A$11</c:f>
              <c:strCache>
                <c:ptCount val="8"/>
                <c:pt idx="0">
                  <c:v>Oct-Dic 2008</c:v>
                </c:pt>
                <c:pt idx="1">
                  <c:v>2009</c:v>
                </c:pt>
                <c:pt idx="2">
                  <c:v>2010</c:v>
                </c:pt>
                <c:pt idx="3">
                  <c:v>2011</c:v>
                </c:pt>
                <c:pt idx="4">
                  <c:v>2012</c:v>
                </c:pt>
                <c:pt idx="5">
                  <c:v>2013</c:v>
                </c:pt>
                <c:pt idx="6">
                  <c:v>2014</c:v>
                </c:pt>
                <c:pt idx="7">
                  <c:v>Ene-Jun. 2015</c:v>
                </c:pt>
              </c:strCache>
            </c:strRef>
          </c:cat>
          <c:val>
            <c:numRef>
              <c:f>'VI.2.Status'!$C$4:$C$11</c:f>
              <c:numCache>
                <c:formatCode>_(* #,##0_);_(* \(#,##0\);_(* "-"??_);_(@_)</c:formatCode>
                <c:ptCount val="8"/>
                <c:pt idx="0">
                  <c:v>16</c:v>
                </c:pt>
                <c:pt idx="1">
                  <c:v>659</c:v>
                </c:pt>
                <c:pt idx="2">
                  <c:v>785</c:v>
                </c:pt>
                <c:pt idx="3">
                  <c:v>802</c:v>
                </c:pt>
                <c:pt idx="4">
                  <c:v>1885</c:v>
                </c:pt>
                <c:pt idx="5">
                  <c:v>2885</c:v>
                </c:pt>
                <c:pt idx="6">
                  <c:v>1749</c:v>
                </c:pt>
                <c:pt idx="7">
                  <c:v>891</c:v>
                </c:pt>
              </c:numCache>
            </c:numRef>
          </c:val>
        </c:ser>
        <c:dLbls>
          <c:showLegendKey val="0"/>
          <c:showVal val="0"/>
          <c:showCatName val="0"/>
          <c:showSerName val="0"/>
          <c:showPercent val="0"/>
          <c:showBubbleSize val="0"/>
        </c:dLbls>
        <c:gapWidth val="34"/>
        <c:overlap val="13"/>
        <c:axId val="893519288"/>
        <c:axId val="893519680"/>
      </c:barChart>
      <c:catAx>
        <c:axId val="893519288"/>
        <c:scaling>
          <c:orientation val="minMax"/>
        </c:scaling>
        <c:delete val="0"/>
        <c:axPos val="b"/>
        <c:numFmt formatCode="General" sourceLinked="0"/>
        <c:majorTickMark val="none"/>
        <c:minorTickMark val="none"/>
        <c:tickLblPos val="nextTo"/>
        <c:txPr>
          <a:bodyPr/>
          <a:lstStyle/>
          <a:p>
            <a:pPr>
              <a:defRPr sz="1200"/>
            </a:pPr>
            <a:endParaRPr lang="es-ES"/>
          </a:p>
        </c:txPr>
        <c:crossAx val="893519680"/>
        <c:crosses val="autoZero"/>
        <c:auto val="1"/>
        <c:lblAlgn val="ctr"/>
        <c:lblOffset val="100"/>
        <c:noMultiLvlLbl val="0"/>
      </c:catAx>
      <c:valAx>
        <c:axId val="893519680"/>
        <c:scaling>
          <c:orientation val="minMax"/>
        </c:scaling>
        <c:delete val="1"/>
        <c:axPos val="l"/>
        <c:numFmt formatCode="_(* #,##0_);_(* \(#,##0\);_(* &quot;-&quot;??_);_(@_)" sourceLinked="1"/>
        <c:majorTickMark val="none"/>
        <c:minorTickMark val="none"/>
        <c:tickLblPos val="nextTo"/>
        <c:crossAx val="893519288"/>
        <c:crosses val="autoZero"/>
        <c:crossBetween val="between"/>
      </c:valAx>
    </c:plotArea>
    <c:legend>
      <c:legendPos val="t"/>
      <c:layout>
        <c:manualLayout>
          <c:xMode val="edge"/>
          <c:yMode val="edge"/>
          <c:x val="0.2875109640819446"/>
          <c:y val="0.10200919478241038"/>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4673849979278905E-2"/>
          <c:y val="0.19154616025937932"/>
          <c:w val="0.94831602891743794"/>
          <c:h val="0.68373283927744322"/>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'VI.3.Apelaciones1'!$A$5:$A$12</c:f>
              <c:strCache>
                <c:ptCount val="8"/>
                <c:pt idx="0">
                  <c:v>2009</c:v>
                </c:pt>
                <c:pt idx="1">
                  <c:v>2010</c:v>
                </c:pt>
                <c:pt idx="2">
                  <c:v>2011</c:v>
                </c:pt>
                <c:pt idx="3">
                  <c:v>2012</c:v>
                </c:pt>
                <c:pt idx="4">
                  <c:v>2013</c:v>
                </c:pt>
                <c:pt idx="5">
                  <c:v>2014</c:v>
                </c:pt>
                <c:pt idx="6">
                  <c:v>Ene- Jun. 15</c:v>
                </c:pt>
                <c:pt idx="7">
                  <c:v>Fecha no especificada</c:v>
                </c:pt>
              </c:strCache>
            </c:strRef>
          </c:cat>
          <c:val>
            <c:numRef>
              <c:f>'VI.3.Apelaciones1'!$B$5:$B$12</c:f>
              <c:numCache>
                <c:formatCode>_(* #,##0_);_(* \(#,##0\);_(* "-"??_);_(@_)</c:formatCode>
                <c:ptCount val="8"/>
                <c:pt idx="0">
                  <c:v>81</c:v>
                </c:pt>
                <c:pt idx="1">
                  <c:v>61</c:v>
                </c:pt>
                <c:pt idx="2">
                  <c:v>78</c:v>
                </c:pt>
                <c:pt idx="3">
                  <c:v>313</c:v>
                </c:pt>
                <c:pt idx="4">
                  <c:v>527</c:v>
                </c:pt>
                <c:pt idx="5">
                  <c:v>287</c:v>
                </c:pt>
                <c:pt idx="6">
                  <c:v>133</c:v>
                </c:pt>
                <c:pt idx="7">
                  <c:v>5</c:v>
                </c:pt>
              </c:numCache>
            </c:numRef>
          </c:val>
        </c:ser>
        <c:ser>
          <c:idx val="1"/>
          <c:order val="1"/>
          <c:tx>
            <c:strRef>
              <c:f>'VI.3.Apelaciones1'!$C$4</c:f>
              <c:strCache>
                <c:ptCount val="1"/>
                <c:pt idx="0">
                  <c:v>Compañías de Seguro/ARL</c:v>
                </c:pt>
              </c:strCache>
            </c:strRef>
          </c:tx>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835271685131262E-3"/>
                  <c:y val="5.0137087430000532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'VI.3.Apelaciones1'!$A$5:$A$12</c:f>
              <c:strCache>
                <c:ptCount val="8"/>
                <c:pt idx="0">
                  <c:v>2009</c:v>
                </c:pt>
                <c:pt idx="1">
                  <c:v>2010</c:v>
                </c:pt>
                <c:pt idx="2">
                  <c:v>2011</c:v>
                </c:pt>
                <c:pt idx="3">
                  <c:v>2012</c:v>
                </c:pt>
                <c:pt idx="4">
                  <c:v>2013</c:v>
                </c:pt>
                <c:pt idx="5">
                  <c:v>2014</c:v>
                </c:pt>
                <c:pt idx="6">
                  <c:v>Ene- Jun. 15</c:v>
                </c:pt>
                <c:pt idx="7">
                  <c:v>Fecha no especificada</c:v>
                </c:pt>
              </c:strCache>
            </c:strRef>
          </c:cat>
          <c:val>
            <c:numRef>
              <c:f>'VI.3.Apelaciones1'!$C$5:$C$12</c:f>
              <c:numCache>
                <c:formatCode>_(* #,##0_);_(* \(#,##0\);_(* "-"??_);_(@_)</c:formatCode>
                <c:ptCount val="8"/>
                <c:pt idx="0">
                  <c:v>13</c:v>
                </c:pt>
                <c:pt idx="1">
                  <c:v>25</c:v>
                </c:pt>
                <c:pt idx="2">
                  <c:v>45</c:v>
                </c:pt>
                <c:pt idx="3">
                  <c:v>186</c:v>
                </c:pt>
                <c:pt idx="4">
                  <c:v>218</c:v>
                </c:pt>
                <c:pt idx="5">
                  <c:v>99</c:v>
                </c:pt>
                <c:pt idx="6">
                  <c:v>41</c:v>
                </c:pt>
                <c:pt idx="7">
                  <c:v>0</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'VI.3.Apelaciones1'!$A$5:$A$12</c:f>
              <c:strCache>
                <c:ptCount val="8"/>
                <c:pt idx="0">
                  <c:v>2009</c:v>
                </c:pt>
                <c:pt idx="1">
                  <c:v>2010</c:v>
                </c:pt>
                <c:pt idx="2">
                  <c:v>2011</c:v>
                </c:pt>
                <c:pt idx="3">
                  <c:v>2012</c:v>
                </c:pt>
                <c:pt idx="4">
                  <c:v>2013</c:v>
                </c:pt>
                <c:pt idx="5">
                  <c:v>2014</c:v>
                </c:pt>
                <c:pt idx="6">
                  <c:v>Ene- Jun. 15</c:v>
                </c:pt>
                <c:pt idx="7">
                  <c:v>Fecha no especificada</c:v>
                </c:pt>
              </c:strCache>
            </c:strRef>
          </c:cat>
          <c:val>
            <c:numRef>
              <c:f>'VI.3.Apelaciones1'!$D$5:$D$12</c:f>
              <c:numCache>
                <c:formatCode>_(* #,##0_);_(* \(#,##0\);_(* "-"??_);_(@_)</c:formatCode>
                <c:ptCount val="8"/>
                <c:pt idx="0">
                  <c:v>0</c:v>
                </c:pt>
                <c:pt idx="1">
                  <c:v>0</c:v>
                </c:pt>
                <c:pt idx="2">
                  <c:v>0</c:v>
                </c:pt>
                <c:pt idx="3">
                  <c:v>60</c:v>
                </c:pt>
                <c:pt idx="4">
                  <c:v>22</c:v>
                </c:pt>
                <c:pt idx="5">
                  <c:v>2</c:v>
                </c:pt>
                <c:pt idx="6">
                  <c:v>0</c:v>
                </c:pt>
                <c:pt idx="7">
                  <c:v>1</c:v>
                </c:pt>
              </c:numCache>
            </c:numRef>
          </c:val>
        </c:ser>
        <c:dLbls>
          <c:showLegendKey val="0"/>
          <c:showVal val="0"/>
          <c:showCatName val="0"/>
          <c:showSerName val="0"/>
          <c:showPercent val="0"/>
          <c:showBubbleSize val="0"/>
        </c:dLbls>
        <c:gapWidth val="37"/>
        <c:gapDepth val="74"/>
        <c:shape val="box"/>
        <c:axId val="893520464"/>
        <c:axId val="893520856"/>
        <c:axId val="874383320"/>
      </c:bar3DChart>
      <c:catAx>
        <c:axId val="893520464"/>
        <c:scaling>
          <c:orientation val="minMax"/>
        </c:scaling>
        <c:delete val="0"/>
        <c:axPos val="b"/>
        <c:numFmt formatCode="General" sourceLinked="0"/>
        <c:majorTickMark val="none"/>
        <c:minorTickMark val="none"/>
        <c:tickLblPos val="nextTo"/>
        <c:txPr>
          <a:bodyPr/>
          <a:lstStyle/>
          <a:p>
            <a:pPr>
              <a:defRPr sz="1800" b="1"/>
            </a:pPr>
            <a:endParaRPr lang="es-ES"/>
          </a:p>
        </c:txPr>
        <c:crossAx val="893520856"/>
        <c:crosses val="autoZero"/>
        <c:auto val="1"/>
        <c:lblAlgn val="ctr"/>
        <c:lblOffset val="100"/>
        <c:noMultiLvlLbl val="0"/>
      </c:catAx>
      <c:valAx>
        <c:axId val="893520856"/>
        <c:scaling>
          <c:orientation val="minMax"/>
        </c:scaling>
        <c:delete val="1"/>
        <c:axPos val="r"/>
        <c:numFmt formatCode="_(* #,##0_);_(* \(#,##0\);_(* &quot;-&quot;??_);_(@_)" sourceLinked="1"/>
        <c:majorTickMark val="none"/>
        <c:minorTickMark val="none"/>
        <c:tickLblPos val="nextTo"/>
        <c:crossAx val="893520464"/>
        <c:crosses val="autoZero"/>
        <c:crossBetween val="between"/>
      </c:valAx>
      <c:serAx>
        <c:axId val="874383320"/>
        <c:scaling>
          <c:orientation val="minMax"/>
        </c:scaling>
        <c:delete val="1"/>
        <c:axPos val="b"/>
        <c:majorTickMark val="out"/>
        <c:minorTickMark val="none"/>
        <c:tickLblPos val="nextTo"/>
        <c:crossAx val="893520856"/>
        <c:crosses val="autoZero"/>
      </c:serAx>
    </c:plotArea>
    <c:legend>
      <c:legendPos val="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0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09.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10.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21.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28.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3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0.png"/></Relationships>
</file>

<file path=xl/drawings/_rels/drawing13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0.png"/><Relationship Id="rId1" Type="http://schemas.openxmlformats.org/officeDocument/2006/relationships/chart" Target="../charts/chart69.xml"/><Relationship Id="rId4" Type="http://schemas.openxmlformats.org/officeDocument/2006/relationships/image" Target="../media/image4.png"/></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3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INDICE!A1"/><Relationship Id="rId1" Type="http://schemas.openxmlformats.org/officeDocument/2006/relationships/chart" Target="../charts/chart73.xml"/><Relationship Id="rId5" Type="http://schemas.openxmlformats.org/officeDocument/2006/relationships/image" Target="../media/image4.png"/><Relationship Id="rId4" Type="http://schemas.openxmlformats.org/officeDocument/2006/relationships/hyperlink" Target="#Contenido!A58"/></Relationships>
</file>

<file path=xl/drawings/_rels/drawing14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46.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4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4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56.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INDICE!A1"/><Relationship Id="rId1" Type="http://schemas.openxmlformats.org/officeDocument/2006/relationships/chart" Target="../charts/chart91.xml"/><Relationship Id="rId5" Type="http://schemas.openxmlformats.org/officeDocument/2006/relationships/image" Target="../media/image4.png"/><Relationship Id="rId4" Type="http://schemas.openxmlformats.org/officeDocument/2006/relationships/hyperlink" Target="#Contenido!A134"/></Relationships>
</file>

<file path=xl/drawings/_rels/drawing16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INDICE!A1"/><Relationship Id="rId1" Type="http://schemas.openxmlformats.org/officeDocument/2006/relationships/chart" Target="../charts/chart92.xml"/><Relationship Id="rId5" Type="http://schemas.openxmlformats.org/officeDocument/2006/relationships/image" Target="../media/image4.png"/><Relationship Id="rId4" Type="http://schemas.openxmlformats.org/officeDocument/2006/relationships/hyperlink" Target="#Contenido!A134"/></Relationships>
</file>

<file path=xl/drawings/_rels/drawing162.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63.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167.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68.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171.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7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1.xml"/><Relationship Id="rId4" Type="http://schemas.openxmlformats.org/officeDocument/2006/relationships/image" Target="../media/image4.png"/></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2.xml"/></Relationships>
</file>

<file path=xl/drawings/_rels/drawing177.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 Id="rId5" Type="http://schemas.openxmlformats.org/officeDocument/2006/relationships/image" Target="../media/image4.png"/><Relationship Id="rId4" Type="http://schemas.openxmlformats.org/officeDocument/2006/relationships/hyperlink" Target="#HOME!A1"/></Relationships>
</file>

<file path=xl/drawings/_rels/drawing17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18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18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3.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4.png"/><Relationship Id="rId1" Type="http://schemas.openxmlformats.org/officeDocument/2006/relationships/chart" Target="../charts/chart7.xml"/></Relationships>
</file>

<file path=xl/drawings/_rels/drawing2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2.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6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6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67.xml.rels><?xml version="1.0" encoding="UTF-8" standalone="yes"?>
<Relationships xmlns="http://schemas.openxmlformats.org/package/2006/relationships"><Relationship Id="rId3" Type="http://schemas.openxmlformats.org/officeDocument/2006/relationships/image" Target="../media/image8.gif"/><Relationship Id="rId2" Type="http://schemas.openxmlformats.org/officeDocument/2006/relationships/image" Target="../media/image4.png"/><Relationship Id="rId1" Type="http://schemas.openxmlformats.org/officeDocument/2006/relationships/hyperlink" Target="#Contenido!A76"/></Relationships>
</file>

<file path=xl/drawings/_rels/drawing6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6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7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88.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47.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9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96.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9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99.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1809748</xdr:colOff>
      <xdr:row>101</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49686" cy="19740562"/>
        </a:xfrm>
        <a:prstGeom prst="rect">
          <a:avLst/>
        </a:prstGeom>
      </xdr:spPr>
    </xdr:pic>
    <xdr:clientData/>
  </xdr:twoCellAnchor>
  <xdr:twoCellAnchor editAs="oneCell">
    <xdr:from>
      <xdr:col>6</xdr:col>
      <xdr:colOff>323850</xdr:colOff>
      <xdr:row>26</xdr:row>
      <xdr:rowOff>47626</xdr:rowOff>
    </xdr:from>
    <xdr:to>
      <xdr:col>12</xdr:col>
      <xdr:colOff>71436</xdr:colOff>
      <xdr:row>71</xdr:row>
      <xdr:rowOff>23812</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943725" y="5334001"/>
          <a:ext cx="7867649" cy="8548686"/>
        </a:xfrm>
        <a:prstGeom prst="rect">
          <a:avLst/>
        </a:prstGeom>
        <a:noFill/>
        <a:ln>
          <a:noFill/>
        </a:ln>
      </xdr:spPr>
    </xdr:pic>
    <xdr:clientData/>
  </xdr:twoCellAnchor>
  <xdr:twoCellAnchor>
    <xdr:from>
      <xdr:col>6</xdr:col>
      <xdr:colOff>571500</xdr:colOff>
      <xdr:row>58</xdr:row>
      <xdr:rowOff>95250</xdr:rowOff>
    </xdr:from>
    <xdr:to>
      <xdr:col>12</xdr:col>
      <xdr:colOff>1381125</xdr:colOff>
      <xdr:row>74</xdr:row>
      <xdr:rowOff>85723</xdr:rowOff>
    </xdr:to>
    <xdr:sp macro="" textlink="">
      <xdr:nvSpPr>
        <xdr:cNvPr id="4" name="3 Rectángulo"/>
        <xdr:cNvSpPr/>
      </xdr:nvSpPr>
      <xdr:spPr>
        <a:xfrm>
          <a:off x="7191375" y="11477625"/>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8000" b="1" i="0" baseline="0">
              <a:solidFill>
                <a:schemeClr val="accent3">
                  <a:lumMod val="50000"/>
                </a:schemeClr>
              </a:solidFill>
              <a:latin typeface="Baskerville Old Face" pitchFamily="18" charset="0"/>
              <a:ea typeface="+mn-ea"/>
              <a:cs typeface="+mn-cs"/>
            </a:rPr>
            <a:t>J</a:t>
          </a:r>
          <a:r>
            <a:rPr lang="es-DO" sz="7200" b="1" i="0">
              <a:solidFill>
                <a:schemeClr val="accent5">
                  <a:lumMod val="50000"/>
                </a:schemeClr>
              </a:solidFill>
              <a:latin typeface="Baskerville Old Face" pitchFamily="18" charset="0"/>
              <a:ea typeface="+mn-ea"/>
              <a:cs typeface="+mn-cs"/>
            </a:rPr>
            <a:t>unio</a:t>
          </a:r>
          <a:r>
            <a:rPr lang="es-DO" sz="6600" b="1" i="0">
              <a:solidFill>
                <a:schemeClr val="accent3">
                  <a:lumMod val="50000"/>
                </a:schemeClr>
              </a:solidFill>
              <a:latin typeface="Baskerville Old Face" pitchFamily="18" charset="0"/>
            </a:rPr>
            <a:t> </a:t>
          </a:r>
          <a:r>
            <a:rPr lang="es-DO" sz="5400" b="1" i="0">
              <a:solidFill>
                <a:schemeClr val="accent3">
                  <a:lumMod val="50000"/>
                </a:schemeClr>
              </a:solidFill>
              <a:latin typeface="Baskerville Old Face" pitchFamily="18" charset="0"/>
              <a:ea typeface="+mn-ea"/>
              <a:cs typeface="+mn-cs"/>
            </a:rPr>
            <a:t>2</a:t>
          </a:r>
          <a:r>
            <a:rPr lang="es-DO" sz="5400" b="1" i="0">
              <a:solidFill>
                <a:schemeClr val="accent5">
                  <a:lumMod val="50000"/>
                </a:schemeClr>
              </a:solidFill>
              <a:latin typeface="Baskerville Old Face" pitchFamily="18" charset="0"/>
              <a:ea typeface="+mn-ea"/>
              <a:cs typeface="+mn-cs"/>
            </a:rPr>
            <a:t>015</a:t>
          </a:r>
          <a:endParaRPr lang="es-DO" sz="24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6</xdr:col>
      <xdr:colOff>23812</xdr:colOff>
      <xdr:row>27</xdr:row>
      <xdr:rowOff>142874</xdr:rowOff>
    </xdr:from>
    <xdr:to>
      <xdr:col>12</xdr:col>
      <xdr:colOff>1381125</xdr:colOff>
      <xdr:row>50</xdr:row>
      <xdr:rowOff>4760</xdr:rowOff>
    </xdr:to>
    <xdr:sp macro="" textlink="">
      <xdr:nvSpPr>
        <xdr:cNvPr id="5" name="3 Rectángulo"/>
        <xdr:cNvSpPr/>
      </xdr:nvSpPr>
      <xdr:spPr>
        <a:xfrm>
          <a:off x="6643687" y="5619749"/>
          <a:ext cx="9477376" cy="42433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a:solidFill>
                <a:schemeClr val="accent3">
                  <a:lumMod val="50000"/>
                </a:schemeClr>
              </a:solidFill>
              <a:latin typeface="Baskerville Old Face" pitchFamily="18" charset="0"/>
              <a:ea typeface="+mn-ea"/>
              <a:cs typeface="+mn-cs"/>
            </a:rPr>
            <a:t>S</a:t>
          </a:r>
          <a:r>
            <a:rPr lang="es-DO" sz="7200" b="1">
              <a:solidFill>
                <a:schemeClr val="accent5">
                  <a:lumMod val="50000"/>
                </a:schemeClr>
              </a:solidFill>
              <a:latin typeface="Baskerville Old Face" pitchFamily="18" charset="0"/>
              <a:ea typeface="+mn-ea"/>
              <a:cs typeface="+mn-cs"/>
            </a:rPr>
            <a:t>istema</a:t>
          </a:r>
          <a:r>
            <a:rPr lang="es-DO" sz="7200" b="1">
              <a:solidFill>
                <a:schemeClr val="accent3">
                  <a:lumMod val="50000"/>
                </a:schemeClr>
              </a:solidFill>
              <a:latin typeface="Baskerville Old Face" pitchFamily="18" charset="0"/>
              <a:ea typeface="+mn-ea"/>
              <a:cs typeface="+mn-cs"/>
            </a:rPr>
            <a:t> D</a:t>
          </a:r>
          <a:r>
            <a:rPr lang="es-DO" sz="7200" b="1">
              <a:solidFill>
                <a:schemeClr val="accent5">
                  <a:lumMod val="50000"/>
                </a:schemeClr>
              </a:solidFill>
              <a:latin typeface="Baskerville Old Face" pitchFamily="18" charset="0"/>
              <a:ea typeface="+mn-ea"/>
              <a:cs typeface="+mn-cs"/>
            </a:rPr>
            <a:t>ominicano</a:t>
          </a:r>
          <a:r>
            <a:rPr lang="es-DO" sz="7200" b="1">
              <a:solidFill>
                <a:schemeClr val="accent3">
                  <a:lumMod val="50000"/>
                </a:schemeClr>
              </a:solidFill>
              <a:latin typeface="Baskerville Old Face" pitchFamily="18" charset="0"/>
              <a:ea typeface="+mn-ea"/>
              <a:cs typeface="+mn-cs"/>
            </a:rPr>
            <a:t> d</a:t>
          </a:r>
          <a:r>
            <a:rPr lang="es-DO" sz="7200" b="1">
              <a:solidFill>
                <a:schemeClr val="accent5">
                  <a:lumMod val="50000"/>
                </a:schemeClr>
              </a:solidFill>
              <a:latin typeface="Baskerville Old Face" pitchFamily="18" charset="0"/>
              <a:ea typeface="+mn-ea"/>
              <a:cs typeface="+mn-cs"/>
            </a:rPr>
            <a:t>e</a:t>
          </a:r>
          <a:r>
            <a:rPr lang="es-DO" sz="7200" b="1">
              <a:solidFill>
                <a:schemeClr val="accent3">
                  <a:lumMod val="50000"/>
                </a:schemeClr>
              </a:solidFill>
              <a:latin typeface="Baskerville Old Face" pitchFamily="18" charset="0"/>
              <a:ea typeface="+mn-ea"/>
              <a:cs typeface="+mn-cs"/>
            </a:rPr>
            <a:t> S</a:t>
          </a:r>
          <a:r>
            <a:rPr lang="es-DO" sz="7200" b="1">
              <a:solidFill>
                <a:schemeClr val="accent5">
                  <a:lumMod val="50000"/>
                </a:schemeClr>
              </a:solidFill>
              <a:latin typeface="Baskerville Old Face" pitchFamily="18" charset="0"/>
              <a:ea typeface="+mn-ea"/>
              <a:cs typeface="+mn-cs"/>
            </a:rPr>
            <a:t>eguridad</a:t>
          </a:r>
          <a:r>
            <a:rPr lang="es-DO" sz="7200" b="1">
              <a:solidFill>
                <a:schemeClr val="accent3">
                  <a:lumMod val="50000"/>
                </a:schemeClr>
              </a:solidFill>
              <a:latin typeface="Baskerville Old Face" pitchFamily="18" charset="0"/>
              <a:ea typeface="+mn-ea"/>
              <a:cs typeface="+mn-cs"/>
            </a:rPr>
            <a:t> S</a:t>
          </a:r>
          <a:r>
            <a:rPr lang="es-DO" sz="7200" b="1">
              <a:solidFill>
                <a:schemeClr val="accent5">
                  <a:lumMod val="50000"/>
                </a:schemeClr>
              </a:solidFill>
              <a:latin typeface="Baskerville Old Face" pitchFamily="18" charset="0"/>
              <a:ea typeface="+mn-ea"/>
              <a:cs typeface="+mn-cs"/>
            </a:rPr>
            <a:t>ocial </a:t>
          </a:r>
        </a:p>
        <a:p>
          <a:pPr algn="r"/>
          <a:r>
            <a:rPr lang="es-DO" sz="6000" b="1" baseline="0">
              <a:solidFill>
                <a:sysClr val="windowText" lastClr="000000"/>
              </a:solidFill>
              <a:latin typeface="Baskerville Old Face" pitchFamily="18" charset="0"/>
            </a:rPr>
            <a:t>(</a:t>
          </a:r>
          <a:r>
            <a:rPr lang="es-DO" sz="5400" b="1">
              <a:solidFill>
                <a:schemeClr val="accent5">
                  <a:lumMod val="50000"/>
                </a:schemeClr>
              </a:solidFill>
              <a:latin typeface="Baskerville Old Face" pitchFamily="18" charset="0"/>
              <a:ea typeface="+mn-ea"/>
              <a:cs typeface="+mn-cs"/>
            </a:rPr>
            <a:t>SDSS</a:t>
          </a:r>
          <a:r>
            <a:rPr lang="es-DO" sz="6000" b="1"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11</xdr:row>
      <xdr:rowOff>50426</xdr:rowOff>
    </xdr:from>
    <xdr:to>
      <xdr:col>13</xdr:col>
      <xdr:colOff>885265</xdr:colOff>
      <xdr:row>36</xdr:row>
      <xdr:rowOff>112059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27214</xdr:colOff>
      <xdr:row>34</xdr:row>
      <xdr:rowOff>27215</xdr:rowOff>
    </xdr:from>
    <xdr:to>
      <xdr:col>7</xdr:col>
      <xdr:colOff>0</xdr:colOff>
      <xdr:row>35</xdr:row>
      <xdr:rowOff>122464</xdr:rowOff>
    </xdr:to>
    <xdr:sp macro="" textlink="">
      <xdr:nvSpPr>
        <xdr:cNvPr id="3" name="2 CuadroTexto"/>
        <xdr:cNvSpPr txBox="1"/>
      </xdr:nvSpPr>
      <xdr:spPr>
        <a:xfrm>
          <a:off x="762000" y="8899072"/>
          <a:ext cx="4898571" cy="34017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a:t>: Portal de la SISALRIL</a:t>
          </a:r>
        </a:p>
      </xdr:txBody>
    </xdr:sp>
    <xdr:clientData/>
  </xdr:twoCellAnchor>
  <xdr:twoCellAnchor>
    <xdr:from>
      <xdr:col>0</xdr:col>
      <xdr:colOff>0</xdr:colOff>
      <xdr:row>0</xdr:row>
      <xdr:rowOff>0</xdr:rowOff>
    </xdr:from>
    <xdr:to>
      <xdr:col>13</xdr:col>
      <xdr:colOff>1061357</xdr:colOff>
      <xdr:row>1</xdr:row>
      <xdr:rowOff>367392</xdr:rowOff>
    </xdr:to>
    <xdr:sp macro="" textlink="">
      <xdr:nvSpPr>
        <xdr:cNvPr id="5" name="4 Rectángulo redondeado"/>
        <xdr:cNvSpPr/>
      </xdr:nvSpPr>
      <xdr:spPr>
        <a:xfrm>
          <a:off x="0" y="0"/>
          <a:ext cx="12314464"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Junio 2015</a:t>
          </a:r>
          <a:endParaRPr lang="es-DO" sz="4800">
            <a:effectLst/>
          </a:endParaRPr>
        </a:p>
      </xdr:txBody>
    </xdr:sp>
    <xdr:clientData/>
  </xdr:twoCellAnchor>
  <xdr:twoCellAnchor editAs="oneCell">
    <xdr:from>
      <xdr:col>12</xdr:col>
      <xdr:colOff>0</xdr:colOff>
      <xdr:row>10</xdr:row>
      <xdr:rowOff>0</xdr:rowOff>
    </xdr:from>
    <xdr:to>
      <xdr:col>12</xdr:col>
      <xdr:colOff>304800</xdr:colOff>
      <xdr:row>11</xdr:row>
      <xdr:rowOff>133350</xdr:rowOff>
    </xdr:to>
    <xdr:sp macro="" textlink="">
      <xdr:nvSpPr>
        <xdr:cNvPr id="11265" name="AutoShape 1" descr="Resultado de imagen para bien"/>
        <xdr:cNvSpPr>
          <a:spLocks noChangeAspect="1" noChangeArrowheads="1"/>
        </xdr:cNvSpPr>
      </xdr:nvSpPr>
      <xdr:spPr bwMode="auto">
        <a:xfrm>
          <a:off x="10391775"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530679</xdr:colOff>
      <xdr:row>0</xdr:row>
      <xdr:rowOff>190500</xdr:rowOff>
    </xdr:from>
    <xdr:to>
      <xdr:col>1</xdr:col>
      <xdr:colOff>591817</xdr:colOff>
      <xdr:row>1</xdr:row>
      <xdr:rowOff>195943</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9050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2</xdr:col>
      <xdr:colOff>172305</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16</xdr:row>
      <xdr:rowOff>35720</xdr:rowOff>
    </xdr:from>
    <xdr:to>
      <xdr:col>11</xdr:col>
      <xdr:colOff>1428750</xdr:colOff>
      <xdr:row>51</xdr:row>
      <xdr:rowOff>107156</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2</xdr:col>
      <xdr:colOff>172305</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898071</xdr:rowOff>
    </xdr:to>
    <xdr:sp macro="" textlink="">
      <xdr:nvSpPr>
        <xdr:cNvPr id="7" name="6 Rectángulo redondeado"/>
        <xdr:cNvSpPr/>
      </xdr:nvSpPr>
      <xdr:spPr>
        <a:xfrm>
          <a:off x="0" y="0"/>
          <a:ext cx="13335000"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Aportes y Pagos Mensual </a:t>
          </a:r>
        </a:p>
        <a:p>
          <a:pPr algn="ctr" eaLnBrk="1" fontAlgn="auto" latinLnBrk="0" hangingPunct="1"/>
          <a:r>
            <a:rPr lang="es-DO" sz="1400" b="1">
              <a:solidFill>
                <a:schemeClr val="lt1"/>
              </a:solidFill>
              <a:effectLst/>
              <a:latin typeface="+mn-lt"/>
              <a:ea typeface="+mn-ea"/>
              <a:cs typeface="+mn-cs"/>
            </a:rPr>
            <a:t>Período:  Junio 2014 -  Junio 2015</a:t>
          </a:r>
          <a:endParaRPr lang="es-DO" sz="2000">
            <a:effectLst/>
          </a:endParaRPr>
        </a:p>
      </xdr:txBody>
    </xdr:sp>
    <xdr:clientData/>
  </xdr:twoCellAnchor>
  <xdr:twoCellAnchor editAs="oneCell">
    <xdr:from>
      <xdr:col>0</xdr:col>
      <xdr:colOff>642938</xdr:colOff>
      <xdr:row>0</xdr:row>
      <xdr:rowOff>142875</xdr:rowOff>
    </xdr:from>
    <xdr:to>
      <xdr:col>1</xdr:col>
      <xdr:colOff>633413</xdr:colOff>
      <xdr:row>0</xdr:row>
      <xdr:rowOff>685800</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2938" y="142875"/>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0.02771</cdr:x>
      <cdr:y>0.93564</cdr:y>
    </cdr:from>
    <cdr:to>
      <cdr:x>0.14289</cdr:x>
      <cdr:y>0.98488</cdr:y>
    </cdr:to>
    <cdr:sp macro="" textlink="">
      <cdr:nvSpPr>
        <cdr:cNvPr id="2" name="1 CuadroTexto"/>
        <cdr:cNvSpPr txBox="1"/>
      </cdr:nvSpPr>
      <cdr:spPr>
        <a:xfrm xmlns:a="http://schemas.openxmlformats.org/drawingml/2006/main">
          <a:off x="360464" y="6305208"/>
          <a:ext cx="1498310" cy="3318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Junio 2015</a:t>
          </a:r>
          <a:endParaRPr lang="es-DO" sz="2400">
            <a:effectLst/>
          </a:endParaRPr>
        </a:p>
      </xdr:txBody>
    </xdr:sp>
    <xdr:clientData/>
  </xdr:twoCellAnchor>
  <xdr:twoCellAnchor>
    <xdr:from>
      <xdr:col>0</xdr:col>
      <xdr:colOff>44824</xdr:colOff>
      <xdr:row>13</xdr:row>
      <xdr:rowOff>56029</xdr:rowOff>
    </xdr:from>
    <xdr:to>
      <xdr:col>9</xdr:col>
      <xdr:colOff>493060</xdr:colOff>
      <xdr:row>49</xdr:row>
      <xdr:rowOff>112059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1</xdr:col>
      <xdr:colOff>248210</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Mensuales  del  SFSP por  ARS</a:t>
          </a:r>
        </a:p>
        <a:p>
          <a:pPr algn="ctr" eaLnBrk="1" fontAlgn="auto" latinLnBrk="0" hangingPunct="1"/>
          <a:r>
            <a:rPr lang="es-DO" sz="1600" b="1">
              <a:solidFill>
                <a:schemeClr val="lt1"/>
              </a:solidFill>
              <a:effectLst/>
              <a:latin typeface="+mn-lt"/>
              <a:ea typeface="+mn-ea"/>
              <a:cs typeface="+mn-cs"/>
            </a:rPr>
            <a:t>Período:  Junio 2014 - Junio 2015</a:t>
          </a:r>
          <a:endParaRPr lang="es-DO" sz="2400">
            <a:effectLst/>
          </a:endParaRPr>
        </a:p>
      </xdr:txBody>
    </xdr:sp>
    <xdr:clientData/>
  </xdr:twoCellAnchor>
  <xdr:twoCellAnchor>
    <xdr:from>
      <xdr:col>0</xdr:col>
      <xdr:colOff>0</xdr:colOff>
      <xdr:row>19</xdr:row>
      <xdr:rowOff>68037</xdr:rowOff>
    </xdr:from>
    <xdr:to>
      <xdr:col>12</xdr:col>
      <xdr:colOff>693964</xdr:colOff>
      <xdr:row>56</xdr:row>
      <xdr:rowOff>122464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8</xdr:col>
      <xdr:colOff>322225</xdr:colOff>
      <xdr:row>38</xdr:row>
      <xdr:rowOff>49696</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0</xdr:colOff>
      <xdr:row>4</xdr:row>
      <xdr:rowOff>168088</xdr:rowOff>
    </xdr:from>
    <xdr:to>
      <xdr:col>11</xdr:col>
      <xdr:colOff>1387929</xdr:colOff>
      <xdr:row>46</xdr:row>
      <xdr:rowOff>27214</xdr:rowOff>
    </xdr:to>
    <xdr:sp macro="" textlink="">
      <xdr:nvSpPr>
        <xdr:cNvPr id="3" name="CuadroTexto 2"/>
        <xdr:cNvSpPr txBox="1"/>
      </xdr:nvSpPr>
      <xdr:spPr>
        <a:xfrm>
          <a:off x="0" y="930088"/>
          <a:ext cx="12654643" cy="794176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Los fondos desembolsado  al Seguro de Vejez, Discapacidad y Sobrevivencia (SVDS) por cuentas, durante el período julio 2003, fecha en que inició el recaudo para el SVDS del RC, hasta junio de 2015 ascienden a un monto total de RD$ 231,213,293,636.95  de los cuales RD$ 184,095,378,963.32 han si asignados a Capitalización Individual y Reparto, representando un 79.6%; al Seguro de Vida RD$ 19,878,328,072.19 (8.6%); Comisión AFP RD$11,420,635,247.27 (4.9%); Comisión SIPEN RD$ 1,788,546,216.86  (0.8%) y por último RD$ 9,062,609,772.65 desembolsado al Fondo de Solidaridad Social (FSS), equivalente al 3.9% del total de la recaudación individualizada. Cabe destacar que el FSS representa el 2.9% del patrimonio total del Sistema Dominicano de Pensiones.  Desde Julio 2003 al 31 de diciembre de 2014 el patrimonio del Fondo de Solidaridad Social ascendió </a:t>
          </a:r>
        </a:p>
        <a:p>
          <a:r>
            <a:rPr lang="es-DO" sz="1400">
              <a:solidFill>
                <a:schemeClr val="dk1"/>
              </a:solidFill>
              <a:effectLst/>
              <a:latin typeface="+mn-lt"/>
              <a:ea typeface="+mn-ea"/>
              <a:cs typeface="+mn-cs"/>
            </a:rPr>
            <a:t>a RD$8,358,094,207.27.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el período julio 2003 al mes de junio 2015 el patrimonio de los fondos de pensiones ha alcanzó un monto acumulado de RD$</a:t>
          </a:r>
          <a:r>
            <a:rPr lang="es-ES" sz="1100" b="0" i="0" u="none" strike="noStrike">
              <a:solidFill>
                <a:schemeClr val="dk1"/>
              </a:solidFill>
              <a:effectLst/>
              <a:latin typeface="+mn-lt"/>
              <a:ea typeface="+mn-ea"/>
              <a:cs typeface="+mn-cs"/>
            </a:rPr>
            <a:t> </a:t>
          </a:r>
          <a:r>
            <a:rPr lang="es-ES" sz="1400">
              <a:solidFill>
                <a:schemeClr val="dk1"/>
              </a:solidFill>
              <a:effectLst/>
              <a:latin typeface="+mn-lt"/>
              <a:ea typeface="+mn-ea"/>
              <a:cs typeface="+mn-cs"/>
            </a:rPr>
            <a:t>337,464.34 </a:t>
          </a:r>
          <a:r>
            <a:rPr lang="es-DO" sz="1400">
              <a:solidFill>
                <a:schemeClr val="dk1"/>
              </a:solidFill>
              <a:effectLst/>
              <a:latin typeface="+mn-lt"/>
              <a:ea typeface="+mn-ea"/>
              <a:cs typeface="+mn-cs"/>
            </a:rPr>
            <a:t> millones, representando el un 12.11% del Producto Interno Bruto (PIB)  y en diciembre de 2003 se contaba con un patrimonio de RD$6,849.88 millones lo que al mes de junio de 2015 se ha multiplicado 49.27 veces.  Hasta diciembre de 2014 se había experimentado un crecimiento promedio anual de 43.0%.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La Cartera total de Inversión de los fondos de pensiones a junio 2015, ascendió a un monto de RD$310,427,609,663.70.  La composición por tipo de emisor de  instrumento de inversión, se observa que el 93.8% está colocada en tres tipos de  emisores principales: Banco Central contiene el 47.9%;  el 26.9%  en Bancos Múltiples y el 19.0%  en la cartera del Ministerio de Hacienda.   En cuanto a la de la diversificación por instrumentos financieros el  37.92% están colocados en certificados de ventanillas; el 22.99% en certificado de depósitos;</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el 19.05% en bonos del Gobierno Central; el 9.95% en nota de renta fija;  9.60% en otros bonos  (ordinarios, corporativos o subordinados) y el 0.21% en otras inversiones.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Desde diciembre 2003 hasta junio 2015,  la rentabilidad nominal promedio de los fondos de pensiones tanto de la Cuenta de Capitalización Individual como del sistema en general, ha tenido un comportamiento similar, acorde a los cambios de las tasas de interés en la economía.  Para  junio 2015  la tasa promedio del sistema es de 12.38% y la tasa promedio de la CCI es de 11.99%.   Utilizando la inflación acumulada disponible en el Banco Central de la República Dominicana, se estima una rentabilidad real es de un 11.37% al mes de junio de 2015.  </a:t>
          </a:r>
        </a:p>
        <a:p>
          <a:r>
            <a:rPr lang="es-DO"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9524</xdr:colOff>
      <xdr:row>4</xdr:row>
      <xdr:rowOff>85725</xdr:rowOff>
    </xdr:to>
    <xdr:sp macro="" textlink="">
      <xdr:nvSpPr>
        <xdr:cNvPr id="4" name="3 Rectángulo redondeado"/>
        <xdr:cNvSpPr/>
      </xdr:nvSpPr>
      <xdr:spPr>
        <a:xfrm>
          <a:off x="0" y="0"/>
          <a:ext cx="96678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a:solidFill>
                <a:schemeClr val="lt1"/>
              </a:solidFill>
              <a:effectLst/>
              <a:latin typeface="+mn-lt"/>
              <a:ea typeface="+mn-ea"/>
              <a:cs typeface="+mn-cs"/>
            </a:rPr>
            <a:t>Pagos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Seguro de Vejez, Discapacidad y Sobrevivencia (SVDS)</a:t>
          </a:r>
          <a:endParaRPr lang="es-ES" sz="20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17689</xdr:colOff>
      <xdr:row>17</xdr:row>
      <xdr:rowOff>112939</xdr:rowOff>
    </xdr:from>
    <xdr:to>
      <xdr:col>11</xdr:col>
      <xdr:colOff>585107</xdr:colOff>
      <xdr:row>56</xdr:row>
      <xdr:rowOff>163285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911679</xdr:rowOff>
    </xdr:to>
    <xdr:sp macro="" textlink="">
      <xdr:nvSpPr>
        <xdr:cNvPr id="4" name="3 Rectángulo redondeado"/>
        <xdr:cNvSpPr/>
      </xdr:nvSpPr>
      <xdr:spPr>
        <a:xfrm>
          <a:off x="0" y="0"/>
          <a:ext cx="14137821" cy="9116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Dispersión Histórica del SVDS</a:t>
          </a:r>
        </a:p>
        <a:p>
          <a:pPr algn="ctr" eaLnBrk="1" fontAlgn="auto" latinLnBrk="0" hangingPunct="1"/>
          <a:r>
            <a:rPr lang="es-DO" sz="1800" b="1">
              <a:solidFill>
                <a:schemeClr val="lt1"/>
              </a:solidFill>
              <a:effectLst/>
              <a:latin typeface="+mn-lt"/>
              <a:ea typeface="+mn-ea"/>
              <a:cs typeface="+mn-cs"/>
            </a:rPr>
            <a:t>Período: 2003 - Junio 2015</a:t>
          </a:r>
          <a:endParaRPr lang="es-DO" sz="2800">
            <a:effectLst/>
          </a:endParaRPr>
        </a:p>
      </xdr:txBody>
    </xdr:sp>
    <xdr:clientData/>
  </xdr:twoCellAnchor>
  <xdr:twoCellAnchor editAs="oneCell">
    <xdr:from>
      <xdr:col>0</xdr:col>
      <xdr:colOff>721179</xdr:colOff>
      <xdr:row>0</xdr:row>
      <xdr:rowOff>163285</xdr:rowOff>
    </xdr:from>
    <xdr:to>
      <xdr:col>1</xdr:col>
      <xdr:colOff>126547</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0</xdr:colOff>
      <xdr:row>12</xdr:row>
      <xdr:rowOff>42190</xdr:rowOff>
    </xdr:from>
    <xdr:to>
      <xdr:col>14</xdr:col>
      <xdr:colOff>1292679</xdr:colOff>
      <xdr:row>38</xdr:row>
      <xdr:rowOff>504264</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1973035</xdr:colOff>
      <xdr:row>0</xdr:row>
      <xdr:rowOff>974912</xdr:rowOff>
    </xdr:to>
    <xdr:sp macro="" textlink="">
      <xdr:nvSpPr>
        <xdr:cNvPr id="4" name="3 Rectángulo redondeado"/>
        <xdr:cNvSpPr/>
      </xdr:nvSpPr>
      <xdr:spPr>
        <a:xfrm>
          <a:off x="0" y="0"/>
          <a:ext cx="26996571"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Junio 2015</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20</xdr:row>
      <xdr:rowOff>178296</xdr:rowOff>
    </xdr:from>
    <xdr:to>
      <xdr:col>10</xdr:col>
      <xdr:colOff>1333500</xdr:colOff>
      <xdr:row>60</xdr:row>
      <xdr:rowOff>142876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1469570</xdr:colOff>
      <xdr:row>0</xdr:row>
      <xdr:rowOff>843643</xdr:rowOff>
    </xdr:to>
    <xdr:sp macro="" textlink="">
      <xdr:nvSpPr>
        <xdr:cNvPr id="4" name="4 Rectángulo redondeado"/>
        <xdr:cNvSpPr/>
      </xdr:nvSpPr>
      <xdr:spPr>
        <a:xfrm>
          <a:off x="0" y="0"/>
          <a:ext cx="15920356" cy="843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2007 - Junio 2015</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14</xdr:row>
      <xdr:rowOff>149679</xdr:rowOff>
    </xdr:from>
    <xdr:to>
      <xdr:col>13</xdr:col>
      <xdr:colOff>1319893</xdr:colOff>
      <xdr:row>59</xdr:row>
      <xdr:rowOff>103909</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277089</xdr:rowOff>
    </xdr:to>
    <xdr:sp macro="" textlink="">
      <xdr:nvSpPr>
        <xdr:cNvPr id="6" name="5 Rectángulo redondeado"/>
        <xdr:cNvSpPr/>
      </xdr:nvSpPr>
      <xdr:spPr>
        <a:xfrm>
          <a:off x="0" y="0"/>
          <a:ext cx="18166774" cy="12815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Junio 2015</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8972</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142875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48227</xdr:rowOff>
    </xdr:from>
    <xdr:to>
      <xdr:col>9</xdr:col>
      <xdr:colOff>868102</xdr:colOff>
      <xdr:row>41</xdr:row>
      <xdr:rowOff>84398</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2005 -  Junio 2015</a:t>
          </a:r>
          <a:endParaRPr lang="es-DO" sz="2800">
            <a:effectLst/>
          </a:endParaRPr>
        </a:p>
      </xdr:txBody>
    </xdr:sp>
    <xdr:clientData/>
  </xdr:twoCellAnchor>
  <xdr:twoCellAnchor editAs="oneCell">
    <xdr:from>
      <xdr:col>0</xdr:col>
      <xdr:colOff>663133</xdr:colOff>
      <xdr:row>0</xdr:row>
      <xdr:rowOff>204967</xdr:rowOff>
    </xdr:from>
    <xdr:to>
      <xdr:col>1</xdr:col>
      <xdr:colOff>393373</xdr:colOff>
      <xdr:row>0</xdr:row>
      <xdr:rowOff>687246</xdr:rowOff>
    </xdr:to>
    <xdr:pic>
      <xdr:nvPicPr>
        <xdr:cNvPr id="6" name="4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3133" y="204967"/>
          <a:ext cx="718911" cy="482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626962</xdr:colOff>
      <xdr:row>0</xdr:row>
      <xdr:rowOff>192910</xdr:rowOff>
    </xdr:from>
    <xdr:to>
      <xdr:col>1</xdr:col>
      <xdr:colOff>390766</xdr:colOff>
      <xdr:row>0</xdr:row>
      <xdr:rowOff>735835</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962" y="192910"/>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0.06016</cdr:x>
      <cdr:y>0.89407</cdr:y>
    </cdr:from>
    <cdr:to>
      <cdr:x>0.2792</cdr:x>
      <cdr:y>0.93877</cdr:y>
    </cdr:to>
    <cdr:sp macro="" textlink="">
      <cdr:nvSpPr>
        <cdr:cNvPr id="2" name="1 CuadroTexto"/>
        <cdr:cNvSpPr txBox="1"/>
      </cdr:nvSpPr>
      <cdr:spPr>
        <a:xfrm xmlns:a="http://schemas.openxmlformats.org/drawingml/2006/main">
          <a:off x="786276" y="6252282"/>
          <a:ext cx="2862797" cy="3125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734785</xdr:colOff>
      <xdr:row>1</xdr:row>
      <xdr:rowOff>81642</xdr:rowOff>
    </xdr:to>
    <xdr:sp macro="" textlink="">
      <xdr:nvSpPr>
        <xdr:cNvPr id="4" name="3 Rectángulo redondeado"/>
        <xdr:cNvSpPr/>
      </xdr:nvSpPr>
      <xdr:spPr>
        <a:xfrm>
          <a:off x="0" y="0"/>
          <a:ext cx="12913178"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600" b="1">
              <a:solidFill>
                <a:schemeClr val="lt1"/>
              </a:solidFill>
              <a:effectLst/>
              <a:latin typeface="+mn-lt"/>
              <a:ea typeface="+mn-ea"/>
              <a:cs typeface="+mn-cs"/>
            </a:rPr>
            <a:t>Junio 2015</a:t>
          </a:r>
          <a:endParaRPr lang="es-DO" sz="24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40821</xdr:rowOff>
    </xdr:from>
    <xdr:to>
      <xdr:col>9</xdr:col>
      <xdr:colOff>557893</xdr:colOff>
      <xdr:row>53</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0</xdr:row>
      <xdr:rowOff>870856</xdr:rowOff>
    </xdr:to>
    <xdr:sp macro="" textlink="">
      <xdr:nvSpPr>
        <xdr:cNvPr id="4" name="3 Rectángulo redondeado"/>
        <xdr:cNvSpPr/>
      </xdr:nvSpPr>
      <xdr:spPr>
        <a:xfrm>
          <a:off x="0" y="0"/>
          <a:ext cx="12436929" cy="8708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a:solidFill>
                <a:schemeClr val="lt1"/>
              </a:solidFill>
              <a:effectLst/>
              <a:latin typeface="+mn-lt"/>
              <a:ea typeface="+mn-ea"/>
              <a:cs typeface="+mn-cs"/>
            </a:rPr>
            <a:t>Junio  2015</a:t>
          </a:r>
          <a:endParaRPr lang="es-DO" sz="2400">
            <a:effectLst/>
          </a:endParaRPr>
        </a:p>
      </xdr:txBody>
    </xdr:sp>
    <xdr:clientData/>
  </xdr:twoCellAnchor>
  <xdr:twoCellAnchor editAs="oneCell">
    <xdr:from>
      <xdr:col>0</xdr:col>
      <xdr:colOff>504264</xdr:colOff>
      <xdr:row>0</xdr:row>
      <xdr:rowOff>156883</xdr:rowOff>
    </xdr:from>
    <xdr:to>
      <xdr:col>0</xdr:col>
      <xdr:colOff>1176618</xdr:colOff>
      <xdr:row>0</xdr:row>
      <xdr:rowOff>705614</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3"/>
          <a:ext cx="672354" cy="54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27213</xdr:colOff>
      <xdr:row>14</xdr:row>
      <xdr:rowOff>9524</xdr:rowOff>
    </xdr:from>
    <xdr:to>
      <xdr:col>7</xdr:col>
      <xdr:colOff>1483179</xdr:colOff>
      <xdr:row>53</xdr:row>
      <xdr:rowOff>108857</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62</xdr:row>
      <xdr:rowOff>69274</xdr:rowOff>
    </xdr:from>
    <xdr:to>
      <xdr:col>18</xdr:col>
      <xdr:colOff>571499</xdr:colOff>
      <xdr:row>105</xdr:row>
      <xdr:rowOff>121227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19</xdr:col>
      <xdr:colOff>-1</xdr:colOff>
      <xdr:row>1</xdr:row>
      <xdr:rowOff>121226</xdr:rowOff>
    </xdr:to>
    <xdr:sp macro="" textlink="">
      <xdr:nvSpPr>
        <xdr:cNvPr id="4" name="3 Rectángulo redondeado"/>
        <xdr:cNvSpPr/>
      </xdr:nvSpPr>
      <xdr:spPr>
        <a:xfrm>
          <a:off x="0" y="0"/>
          <a:ext cx="14547272" cy="103909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2005 - Junio 2015</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6.xml><?xml version="1.0" encoding="utf-8"?>
<xdr:wsDr xmlns:xdr="http://schemas.openxmlformats.org/drawingml/2006/spreadsheetDrawing" xmlns:a="http://schemas.openxmlformats.org/drawingml/2006/main">
  <xdr:twoCellAnchor>
    <xdr:from>
      <xdr:col>0</xdr:col>
      <xdr:colOff>0</xdr:colOff>
      <xdr:row>18</xdr:row>
      <xdr:rowOff>95250</xdr:rowOff>
    </xdr:from>
    <xdr:to>
      <xdr:col>14</xdr:col>
      <xdr:colOff>762000</xdr:colOff>
      <xdr:row>61</xdr:row>
      <xdr:rowOff>176893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1047750</xdr:rowOff>
    </xdr:to>
    <xdr:sp macro="" textlink="">
      <xdr:nvSpPr>
        <xdr:cNvPr id="4" name="3 Rectángulo redondeado"/>
        <xdr:cNvSpPr/>
      </xdr:nvSpPr>
      <xdr:spPr>
        <a:xfrm>
          <a:off x="0" y="0"/>
          <a:ext cx="14872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2003 - Junio 2015</a:t>
          </a:r>
          <a:endParaRPr lang="es-DO" sz="3200">
            <a:effectLst/>
          </a:endParaRPr>
        </a:p>
      </xdr:txBody>
    </xdr:sp>
    <xdr:clientData/>
  </xdr:twoCellAnchor>
  <xdr:twoCellAnchor editAs="oneCell">
    <xdr:from>
      <xdr:col>1</xdr:col>
      <xdr:colOff>27214</xdr:colOff>
      <xdr:row>0</xdr:row>
      <xdr:rowOff>149678</xdr:rowOff>
    </xdr:from>
    <xdr:to>
      <xdr:col>1</xdr:col>
      <xdr:colOff>854435</xdr:colOff>
      <xdr:row>0</xdr:row>
      <xdr:rowOff>734786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214" y="149678"/>
          <a:ext cx="827221" cy="585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0.04238</cdr:x>
      <cdr:y>0.91415</cdr:y>
    </cdr:from>
    <cdr:to>
      <cdr:x>0.63915</cdr:x>
      <cdr:y>0.96739</cdr:y>
    </cdr:to>
    <cdr:sp macro="" textlink="">
      <cdr:nvSpPr>
        <cdr:cNvPr id="2" name="1 CuadroTexto"/>
        <cdr:cNvSpPr txBox="1"/>
      </cdr:nvSpPr>
      <cdr:spPr>
        <a:xfrm xmlns:a="http://schemas.openxmlformats.org/drawingml/2006/main">
          <a:off x="489034" y="6866317"/>
          <a:ext cx="6886044" cy="3998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18.xml><?xml version="1.0" encoding="utf-8"?>
<xdr:wsDr xmlns:xdr="http://schemas.openxmlformats.org/drawingml/2006/spreadsheetDrawing" xmlns:a="http://schemas.openxmlformats.org/drawingml/2006/main">
  <xdr:twoCellAnchor editAs="oneCell">
    <xdr:from>
      <xdr:col>2</xdr:col>
      <xdr:colOff>696634</xdr:colOff>
      <xdr:row>6</xdr:row>
      <xdr:rowOff>128307</xdr:rowOff>
    </xdr:from>
    <xdr:to>
      <xdr:col>6</xdr:col>
      <xdr:colOff>675716</xdr:colOff>
      <xdr:row>27</xdr:row>
      <xdr:rowOff>112058</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0634" y="1271307"/>
          <a:ext cx="3427132" cy="3984251"/>
        </a:xfrm>
        <a:prstGeom prst="rect">
          <a:avLst/>
        </a:prstGeom>
        <a:noFill/>
        <a:ln>
          <a:noFill/>
        </a:ln>
      </xdr:spPr>
    </xdr:pic>
    <xdr:clientData/>
  </xdr:twoCellAnchor>
  <xdr:twoCellAnchor>
    <xdr:from>
      <xdr:col>0</xdr:col>
      <xdr:colOff>57150</xdr:colOff>
      <xdr:row>4</xdr:row>
      <xdr:rowOff>57150</xdr:rowOff>
    </xdr:from>
    <xdr:to>
      <xdr:col>9</xdr:col>
      <xdr:colOff>542925</xdr:colOff>
      <xdr:row>29</xdr:row>
      <xdr:rowOff>152400</xdr:rowOff>
    </xdr:to>
    <xdr:sp macro="" textlink="">
      <xdr:nvSpPr>
        <xdr:cNvPr id="3" name="CuadroTexto 2"/>
        <xdr:cNvSpPr txBox="1"/>
      </xdr:nvSpPr>
      <xdr:spPr>
        <a:xfrm>
          <a:off x="57150" y="819150"/>
          <a:ext cx="7829550" cy="48577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junio 2015,  para prevenir y cubrir daños ocasionados por accidentes de trabajo y/o enfermedades profesionales fue de</a:t>
          </a:r>
          <a:r>
            <a:rPr lang="en-US" sz="1400" b="0" baseline="0">
              <a:solidFill>
                <a:schemeClr val="dk1"/>
              </a:solidFill>
              <a:effectLst/>
              <a:latin typeface="+mn-lt"/>
              <a:ea typeface="+mn-ea"/>
              <a:cs typeface="+mn-cs"/>
            </a:rPr>
            <a:t> </a:t>
          </a:r>
          <a:r>
            <a:rPr lang="es-DO" sz="1400" b="0" baseline="0">
              <a:solidFill>
                <a:schemeClr val="dk1"/>
              </a:solidFill>
              <a:effectLst/>
              <a:latin typeface="+mn-lt"/>
              <a:ea typeface="+mn-ea"/>
              <a:cs typeface="+mn-cs"/>
            </a:rPr>
            <a:t>RD$22,295,681,955.92 </a:t>
          </a:r>
          <a:r>
            <a:rPr lang="en-US" sz="1400" b="0" baseline="0">
              <a:solidFill>
                <a:schemeClr val="dk1"/>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94.99% de los fondos pagados al SRL, pertenecen a ARL Salud Segura; el 4.09% a la  Comisión de la SISALRIL y el 0.92% al Fondo de Solidaridad Social.   El crecimiento anual promedio  pagado a la ARL es de un 11.02%.</a:t>
          </a:r>
          <a:endParaRPr lang="es-ES" sz="1400" b="0" baseline="0">
            <a:solidFill>
              <a:schemeClr val="dk1"/>
            </a:solidFill>
            <a:effectLst/>
            <a:latin typeface="+mn-lt"/>
            <a:ea typeface="+mn-ea"/>
            <a:cs typeface="+mn-cs"/>
          </a:endParaRP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De enero al mes de junio 2015, la suma total pagada ascienden a RD$</a:t>
          </a:r>
          <a:r>
            <a:rPr lang="es-ES" sz="1400" b="0" baseline="0">
              <a:solidFill>
                <a:schemeClr val="dk1"/>
              </a:solidFill>
              <a:effectLst/>
              <a:latin typeface="+mn-lt"/>
              <a:ea typeface="+mn-ea"/>
              <a:cs typeface="+mn-cs"/>
            </a:rPr>
            <a:t>1,700,064,076.38  </a:t>
          </a:r>
          <a:r>
            <a:rPr lang="es-DO" sz="1400" b="0" baseline="0">
              <a:solidFill>
                <a:schemeClr val="dk1"/>
              </a:solidFill>
              <a:effectLst/>
              <a:latin typeface="+mn-lt"/>
              <a:ea typeface="+mn-ea"/>
              <a:cs typeface="+mn-cs"/>
            </a:rPr>
            <a:t>distribuidos de la siguiente forma: el 95.35% a ARL Salud Segura; 4.13%  a la Comisión SISALRIL y 0.52% al Fondo de Solidaridad Social del Seguro de Riesgos Laborales (SRL).   </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Los fondos pagados a SRL de enero a junio 2014 fueron de RD$</a:t>
          </a:r>
          <a:r>
            <a:rPr lang="es-ES" sz="1400" b="0" baseline="0">
              <a:solidFill>
                <a:schemeClr val="dk1"/>
              </a:solidFill>
              <a:effectLst/>
              <a:latin typeface="+mn-lt"/>
              <a:ea typeface="+mn-ea"/>
              <a:cs typeface="+mn-cs"/>
            </a:rPr>
            <a:t>1,531,078,990.33</a:t>
          </a:r>
          <a:r>
            <a:rPr lang="es-DO" sz="1400" b="0" baseline="0">
              <a:solidFill>
                <a:schemeClr val="dk1"/>
              </a:solidFill>
              <a:effectLst/>
              <a:latin typeface="+mn-lt"/>
              <a:ea typeface="+mn-ea"/>
              <a:cs typeface="+mn-cs"/>
            </a:rPr>
            <a:t>, comparándolo con el período anterior del 2015, se observa una variación en los pagos RD$168,985,086.05 .</a:t>
          </a:r>
          <a:endParaRPr lang="es-ES"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16</xdr:row>
      <xdr:rowOff>12003</xdr:rowOff>
    </xdr:from>
    <xdr:to>
      <xdr:col>11</xdr:col>
      <xdr:colOff>1145740</xdr:colOff>
      <xdr:row>43</xdr:row>
      <xdr:rowOff>143527</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Pagos Anuales al Seguro de Riesgo Laborales</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RL) por Cuentas</a:t>
          </a:r>
        </a:p>
        <a:p>
          <a:pPr algn="ctr" eaLnBrk="1" fontAlgn="auto" latinLnBrk="0" hangingPunct="1"/>
          <a:r>
            <a:rPr lang="es-DO" sz="1600" b="1">
              <a:solidFill>
                <a:schemeClr val="lt1"/>
              </a:solidFill>
              <a:effectLst/>
              <a:latin typeface="+mn-lt"/>
              <a:ea typeface="+mn-ea"/>
              <a:cs typeface="+mn-cs"/>
            </a:rPr>
            <a:t>Período: Febrero 2005 - Junio 2015</a:t>
          </a:r>
          <a:endParaRPr lang="es-DO" sz="2400">
            <a:effectLst/>
          </a:endParaRPr>
        </a:p>
      </xdr:txBody>
    </xdr:sp>
    <xdr:clientData/>
  </xdr:twoCellAnchor>
  <xdr:twoCellAnchor editAs="oneCell">
    <xdr:from>
      <xdr:col>0</xdr:col>
      <xdr:colOff>574108</xdr:colOff>
      <xdr:row>0</xdr:row>
      <xdr:rowOff>143527</xdr:rowOff>
    </xdr:from>
    <xdr:to>
      <xdr:col>1</xdr:col>
      <xdr:colOff>378389</xdr:colOff>
      <xdr:row>0</xdr:row>
      <xdr:rowOff>653548</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4108" y="143527"/>
          <a:ext cx="743733" cy="510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0.04765</cdr:x>
      <cdr:y>0.91781</cdr:y>
    </cdr:from>
    <cdr:to>
      <cdr:x>0.32882</cdr:x>
      <cdr:y>0.96137</cdr:y>
    </cdr:to>
    <cdr:sp macro="" textlink="">
      <cdr:nvSpPr>
        <cdr:cNvPr id="2" name="2 CuadroTexto"/>
        <cdr:cNvSpPr txBox="1"/>
      </cdr:nvSpPr>
      <cdr:spPr>
        <a:xfrm xmlns:a="http://schemas.openxmlformats.org/drawingml/2006/main">
          <a:off x="830118" y="7168572"/>
          <a:ext cx="4898571" cy="34017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Portal de la SISALRIL</a:t>
          </a:r>
        </a:p>
      </cdr:txBody>
    </cdr:sp>
  </cdr:relSizeAnchor>
</c:userShapes>
</file>

<file path=xl/drawings/drawing120.xml><?xml version="1.0" encoding="utf-8"?>
<c:userShapes xmlns:c="http://schemas.openxmlformats.org/drawingml/2006/chart">
  <cdr:relSizeAnchor xmlns:cdr="http://schemas.openxmlformats.org/drawingml/2006/chartDrawing">
    <cdr:from>
      <cdr:x>0.04889</cdr:x>
      <cdr:y>0.94281</cdr:y>
    </cdr:from>
    <cdr:to>
      <cdr:x>0.28251</cdr:x>
      <cdr:y>0.9825</cdr:y>
    </cdr:to>
    <cdr:sp macro="" textlink="">
      <cdr:nvSpPr>
        <cdr:cNvPr id="2" name="1 CuadroTexto"/>
        <cdr:cNvSpPr txBox="1"/>
      </cdr:nvSpPr>
      <cdr:spPr>
        <a:xfrm xmlns:a="http://schemas.openxmlformats.org/drawingml/2006/main">
          <a:off x="562715" y="5166715"/>
          <a:ext cx="2688749" cy="217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a:t>Fuente: TSS</a:t>
          </a:r>
        </a:p>
      </cdr:txBody>
    </cdr:sp>
  </cdr:relSizeAnchor>
</c:userShapes>
</file>

<file path=xl/drawings/drawing121.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249129</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249129</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22412</xdr:colOff>
      <xdr:row>18</xdr:row>
      <xdr:rowOff>78441</xdr:rowOff>
    </xdr:from>
    <xdr:to>
      <xdr:col>11</xdr:col>
      <xdr:colOff>896471</xdr:colOff>
      <xdr:row>46</xdr:row>
      <xdr:rowOff>78441</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Junio 2014 - Junio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23.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La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2</xdr:col>
      <xdr:colOff>576169</xdr:colOff>
      <xdr:row>6</xdr:row>
      <xdr:rowOff>132604</xdr:rowOff>
    </xdr:from>
    <xdr:to>
      <xdr:col>7</xdr:col>
      <xdr:colOff>537883</xdr:colOff>
      <xdr:row>27</xdr:row>
      <xdr:rowOff>67235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00169" y="1275604"/>
          <a:ext cx="3637243" cy="3946337"/>
        </a:xfrm>
        <a:prstGeom prst="rect">
          <a:avLst/>
        </a:prstGeom>
        <a:noFill/>
        <a:ln>
          <a:noFill/>
        </a:ln>
      </xdr:spPr>
    </xdr:pic>
    <xdr:clientData/>
  </xdr:twoCellAnchor>
  <xdr:twoCellAnchor>
    <xdr:from>
      <xdr:col>0</xdr:col>
      <xdr:colOff>47626</xdr:colOff>
      <xdr:row>4</xdr:row>
      <xdr:rowOff>66674</xdr:rowOff>
    </xdr:from>
    <xdr:to>
      <xdr:col>10</xdr:col>
      <xdr:colOff>714376</xdr:colOff>
      <xdr:row>31</xdr:row>
      <xdr:rowOff>123824</xdr:rowOff>
    </xdr:to>
    <xdr:sp macro="" textlink="">
      <xdr:nvSpPr>
        <xdr:cNvPr id="3" name="1 CuadroTexto"/>
        <xdr:cNvSpPr txBox="1"/>
      </xdr:nvSpPr>
      <xdr:spPr>
        <a:xfrm>
          <a:off x="47626" y="828674"/>
          <a:ext cx="8153400" cy="521017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a:t>
          </a:r>
          <a:r>
            <a:rPr lang="en-US" sz="1400" baseline="0">
              <a:solidFill>
                <a:sysClr val="windowText" lastClr="000000"/>
              </a:solidFill>
              <a:effectLst/>
              <a:latin typeface="+mn-lt"/>
              <a:ea typeface="+mn-ea"/>
              <a:cs typeface="+mn-cs"/>
            </a:rPr>
            <a:t> E</a:t>
          </a:r>
          <a:r>
            <a:rPr lang="en-US" sz="1400">
              <a:solidFill>
                <a:sysClr val="windowText" lastClr="000000"/>
              </a:solidFill>
              <a:effectLst/>
              <a:latin typeface="+mn-lt"/>
              <a:ea typeface="+mn-ea"/>
              <a:cs typeface="+mn-cs"/>
            </a:rPr>
            <a:t>stancias Infantiles también son atendidos niños de otros regímenes además del Régimen</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El total de niños cubiertos al mes de junio 2015 es de 5,590 cubierto por RC. De enero a junio 2015 se ha desembolso a la Administradora de Estancias Infantiles (AEISS) un total de RD$</a:t>
          </a:r>
          <a:r>
            <a:rPr lang="es-ES" sz="1400">
              <a:solidFill>
                <a:sysClr val="windowText" lastClr="000000"/>
              </a:solidFill>
              <a:effectLst/>
              <a:latin typeface="+mn-lt"/>
              <a:ea typeface="+mn-ea"/>
              <a:cs typeface="+mn-cs"/>
            </a:rPr>
            <a:t>141,187,420.0.   </a:t>
          </a:r>
          <a:r>
            <a:rPr lang="es-DO" sz="1400" baseline="0">
              <a:solidFill>
                <a:sysClr val="windowText" lastClr="000000"/>
              </a:solidFill>
              <a:effectLst/>
              <a:latin typeface="+mn-lt"/>
              <a:ea typeface="+mn-ea"/>
              <a:cs typeface="+mn-cs"/>
            </a:rPr>
            <a:t>Desde mayo 2009 a junio 2015 la afiliación ha crecido 9.3 veces.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a:t>
          </a:r>
          <a:r>
            <a:rPr lang="es-DO" sz="1400" baseline="0">
              <a:solidFill>
                <a:sysClr val="windowText" lastClr="000000"/>
              </a:solidFill>
              <a:effectLst/>
              <a:latin typeface="+mn-lt"/>
              <a:ea typeface="+mn-ea"/>
              <a:cs typeface="+mn-cs"/>
            </a:rPr>
            <a:t>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a:p>
        <a:p>
          <a:pPr marL="0" marR="0" indent="0" algn="l" defTabSz="914400" eaLnBrk="1" fontAlgn="auto" latinLnBrk="0" hangingPunct="1">
            <a:lnSpc>
              <a:spcPct val="100000"/>
            </a:lnSpc>
            <a:spcBef>
              <a:spcPts val="0"/>
            </a:spcBef>
            <a:spcAft>
              <a:spcPts val="0"/>
            </a:spcAft>
            <a:buClrTx/>
            <a:buSzTx/>
            <a:buFontTx/>
            <a:buNone/>
            <a:tabLst/>
            <a:defRPr/>
          </a:pPr>
          <a:r>
            <a:rPr lang="es-DO" sz="1400" i="0"/>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desde febrero hasta agosto del 2015; los cuales serán invertidos única y exclusivamente para el fin indicado.</a:t>
          </a:r>
          <a:r>
            <a:rPr lang="es-DO" sz="1400" i="0" baseline="0">
              <a:solidFill>
                <a:sysClr val="windowText" lastClr="000000"/>
              </a:solidFill>
              <a:effectLst/>
              <a:latin typeface="+mn-lt"/>
              <a:ea typeface="+mn-ea"/>
              <a:cs typeface="+mn-cs"/>
            </a:rPr>
            <a:t> </a:t>
          </a:r>
          <a:endParaRPr lang="es-ES" sz="1400" i="0"/>
        </a:p>
        <a:p>
          <a:pPr marL="0" marR="0" indent="0" algn="l" defTabSz="914400" eaLnBrk="1" fontAlgn="auto" latinLnBrk="0" hangingPunct="1">
            <a:lnSpc>
              <a:spcPct val="100000"/>
            </a:lnSpc>
            <a:spcBef>
              <a:spcPts val="0"/>
            </a:spcBef>
            <a:spcAft>
              <a:spcPts val="0"/>
            </a:spcAft>
            <a:buClrTx/>
            <a:buSzTx/>
            <a:buFontTx/>
            <a:buNone/>
            <a:tabLst/>
            <a:defRPr/>
          </a:pPr>
          <a:endParaRPr lang="es-DO" sz="140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Al mes de junio 2015 la cuenta de Estancias Infantiles posee inversiones en certificados financieros por un monto de RD$778,216,421.93.</a:t>
          </a:r>
          <a:endParaRPr lang="es-ES"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752475</xdr:colOff>
      <xdr:row>3</xdr:row>
      <xdr:rowOff>133350</xdr:rowOff>
    </xdr:to>
    <xdr:sp macro="" textlink="">
      <xdr:nvSpPr>
        <xdr:cNvPr id="4" name="4 Rectángulo redondeado"/>
        <xdr:cNvSpPr/>
      </xdr:nvSpPr>
      <xdr:spPr>
        <a:xfrm>
          <a:off x="0" y="0"/>
          <a:ext cx="823912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Estancias Infantiles </a:t>
          </a:r>
          <a:endParaRPr lang="es-DO" sz="4000">
            <a:effectLst/>
          </a:endParaRPr>
        </a:p>
      </xdr:txBody>
    </xdr:sp>
    <xdr:clientData/>
  </xdr:twoCellAnchor>
  <xdr:twoCellAnchor editAs="oneCell">
    <xdr:from>
      <xdr:col>0</xdr:col>
      <xdr:colOff>443566</xdr:colOff>
      <xdr:row>0</xdr:row>
      <xdr:rowOff>77322</xdr:rowOff>
    </xdr:from>
    <xdr:to>
      <xdr:col>1</xdr:col>
      <xdr:colOff>353279</xdr:colOff>
      <xdr:row>2</xdr:row>
      <xdr:rowOff>180976</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3566" y="77322"/>
          <a:ext cx="671713" cy="4846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15</xdr:row>
      <xdr:rowOff>514412</xdr:rowOff>
    </xdr:from>
    <xdr:to>
      <xdr:col>9</xdr:col>
      <xdr:colOff>1610592</xdr:colOff>
      <xdr:row>53</xdr:row>
      <xdr:rowOff>34636</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Estancias Infantiles (EI) del Régimen Contributivo (RC)</a:t>
          </a:r>
          <a:endParaRPr lang="es-ES" sz="2000">
            <a:effectLst/>
            <a:latin typeface="+mn-lt"/>
          </a:endParaRPr>
        </a:p>
        <a:p>
          <a:pPr algn="ctr" eaLnBrk="1" fontAlgn="auto" latinLnBrk="0" hangingPunct="1"/>
          <a:r>
            <a:rPr lang="es-DO" sz="2000" b="1">
              <a:solidFill>
                <a:schemeClr val="lt1"/>
              </a:solidFill>
              <a:effectLst/>
              <a:latin typeface="+mn-lt"/>
              <a:ea typeface="+mn-ea"/>
              <a:cs typeface="+mn-cs"/>
            </a:rPr>
            <a:t>Cantidad de Cápitas</a:t>
          </a:r>
          <a:r>
            <a:rPr lang="es-DO" sz="2000" b="1" baseline="0">
              <a:solidFill>
                <a:schemeClr val="lt1"/>
              </a:solidFill>
              <a:effectLst/>
              <a:latin typeface="+mn-lt"/>
              <a:ea typeface="+mn-ea"/>
              <a:cs typeface="+mn-cs"/>
            </a:rPr>
            <a:t> Pagadas por </a:t>
          </a:r>
          <a:r>
            <a:rPr lang="es-DO" sz="2000" b="1">
              <a:solidFill>
                <a:schemeClr val="lt1"/>
              </a:solidFill>
              <a:effectLst/>
              <a:latin typeface="+mn-lt"/>
              <a:ea typeface="+mn-ea"/>
              <a:cs typeface="+mn-cs"/>
            </a:rPr>
            <a:t>Niños</a:t>
          </a:r>
          <a:r>
            <a:rPr lang="es-DO" sz="2000" b="1" baseline="0">
              <a:solidFill>
                <a:schemeClr val="lt1"/>
              </a:solidFill>
              <a:effectLst/>
              <a:latin typeface="+mn-lt"/>
              <a:ea typeface="+mn-ea"/>
              <a:cs typeface="+mn-cs"/>
            </a:rPr>
            <a:t> Afiliados en las </a:t>
          </a:r>
          <a:r>
            <a:rPr lang="es-DO" sz="2000" b="1">
              <a:solidFill>
                <a:schemeClr val="lt1"/>
              </a:solidFill>
              <a:effectLst/>
              <a:latin typeface="+mn-lt"/>
              <a:ea typeface="+mn-ea"/>
              <a:cs typeface="+mn-cs"/>
            </a:rPr>
            <a:t>Estancias</a:t>
          </a:r>
          <a:r>
            <a:rPr lang="es-DO" sz="2000" b="1" baseline="0">
              <a:solidFill>
                <a:schemeClr val="lt1"/>
              </a:solidFill>
              <a:effectLst/>
              <a:latin typeface="+mn-lt"/>
              <a:ea typeface="+mn-ea"/>
              <a:cs typeface="+mn-cs"/>
            </a:rPr>
            <a:t> Infantiles (EI) del RC</a:t>
          </a:r>
        </a:p>
        <a:p>
          <a:pPr algn="ctr" eaLnBrk="1" fontAlgn="auto" latinLnBrk="0" hangingPunct="1"/>
          <a:r>
            <a:rPr lang="es-DO" sz="2000" b="1">
              <a:effectLst/>
              <a:latin typeface="+mn-lt"/>
            </a:rPr>
            <a:t>Período:</a:t>
          </a:r>
          <a:r>
            <a:rPr lang="es-DO" sz="2000" b="1" baseline="0">
              <a:effectLst/>
              <a:latin typeface="+mn-lt"/>
            </a:rPr>
            <a:t> Mayo 2009 - </a:t>
          </a:r>
          <a:r>
            <a:rPr lang="es-DO" sz="2000" b="1">
              <a:effectLst/>
              <a:latin typeface="+mn-lt"/>
            </a:rPr>
            <a:t> Junio</a:t>
          </a:r>
          <a:r>
            <a:rPr lang="es-DO" sz="2000" b="1" baseline="0">
              <a:effectLst/>
              <a:latin typeface="+mn-lt"/>
            </a:rPr>
            <a:t> </a:t>
          </a:r>
          <a:r>
            <a:rPr lang="es-DO" sz="2000" b="1">
              <a:effectLst/>
              <a:latin typeface="+mn-lt"/>
            </a:rPr>
            <a:t>2015</a:t>
          </a:r>
        </a:p>
      </xdr:txBody>
    </xdr:sp>
    <xdr:clientData/>
  </xdr:twoCellAnchor>
  <xdr:twoCellAnchor editAs="oneCell">
    <xdr:from>
      <xdr:col>0</xdr:col>
      <xdr:colOff>658090</xdr:colOff>
      <xdr:row>0</xdr:row>
      <xdr:rowOff>190500</xdr:rowOff>
    </xdr:from>
    <xdr:to>
      <xdr:col>1</xdr:col>
      <xdr:colOff>1047750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0</xdr:colOff>
      <xdr:row>11</xdr:row>
      <xdr:rowOff>156881</xdr:rowOff>
    </xdr:from>
    <xdr:to>
      <xdr:col>8</xdr:col>
      <xdr:colOff>1815353</xdr:colOff>
      <xdr:row>42</xdr:row>
      <xdr:rowOff>44823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Junio </a:t>
          </a:r>
          <a:r>
            <a:rPr lang="es-DO" sz="1600" b="1" baseline="0">
              <a:solidFill>
                <a:schemeClr val="lt1"/>
              </a:solidFill>
              <a:effectLst/>
              <a:latin typeface="+mn-lt"/>
              <a:ea typeface="+mn-ea"/>
              <a:cs typeface="+mn-cs"/>
            </a:rPr>
            <a:t>2</a:t>
          </a:r>
          <a:r>
            <a:rPr lang="es-DO" sz="1600" b="1">
              <a:solidFill>
                <a:schemeClr val="lt1"/>
              </a:solidFill>
              <a:effectLst/>
              <a:latin typeface="+mn-lt"/>
              <a:ea typeface="+mn-ea"/>
              <a:cs typeface="+mn-cs"/>
            </a:rPr>
            <a:t>015</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408214</xdr:colOff>
      <xdr:row>56</xdr:row>
      <xdr:rowOff>68036</xdr:rowOff>
    </xdr:from>
    <xdr:to>
      <xdr:col>2</xdr:col>
      <xdr:colOff>585107</xdr:colOff>
      <xdr:row>58</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12</xdr:row>
      <xdr:rowOff>51953</xdr:rowOff>
    </xdr:from>
    <xdr:to>
      <xdr:col>13</xdr:col>
      <xdr:colOff>1541318</xdr:colOff>
      <xdr:row>75</xdr:row>
      <xdr:rowOff>51955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1593273</xdr:colOff>
      <xdr:row>0</xdr:row>
      <xdr:rowOff>1229591</xdr:rowOff>
    </xdr:to>
    <xdr:sp macro="" textlink="">
      <xdr:nvSpPr>
        <xdr:cNvPr id="6" name="5 Rectángulo redondeado"/>
        <xdr:cNvSpPr/>
      </xdr:nvSpPr>
      <xdr:spPr>
        <a:xfrm>
          <a:off x="0" y="0"/>
          <a:ext cx="16088591" cy="122959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Diciembre 2008 - Junio 2015</a:t>
          </a:r>
          <a:endParaRPr lang="es-DO" sz="6000">
            <a:effectLst/>
          </a:endParaRPr>
        </a:p>
      </xdr:txBody>
    </xdr:sp>
    <xdr:clientData/>
  </xdr:twoCellAnchor>
  <xdr:twoCellAnchor editAs="oneCell">
    <xdr:from>
      <xdr:col>0</xdr:col>
      <xdr:colOff>554181</xdr:colOff>
      <xdr:row>0</xdr:row>
      <xdr:rowOff>190498</xdr:rowOff>
    </xdr:from>
    <xdr:to>
      <xdr:col>1</xdr:col>
      <xdr:colOff>277091</xdr:colOff>
      <xdr:row>0</xdr:row>
      <xdr:rowOff>1008809</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190498"/>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750794</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358590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315447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104775</xdr:colOff>
      <xdr:row>7</xdr:row>
      <xdr:rowOff>133348</xdr:rowOff>
    </xdr:from>
    <xdr:to>
      <xdr:col>11</xdr:col>
      <xdr:colOff>1266826</xdr:colOff>
      <xdr:row>32</xdr:row>
      <xdr:rowOff>76199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342899</xdr:colOff>
      <xdr:row>32</xdr:row>
      <xdr:rowOff>142875</xdr:rowOff>
    </xdr:from>
    <xdr:to>
      <xdr:col>11</xdr:col>
      <xdr:colOff>485775</xdr:colOff>
      <xdr:row>35</xdr:row>
      <xdr:rowOff>66675</xdr:rowOff>
    </xdr:to>
    <xdr:sp macro="" textlink="">
      <xdr:nvSpPr>
        <xdr:cNvPr id="4" name="3 CuadroTexto"/>
        <xdr:cNvSpPr txBox="1"/>
      </xdr:nvSpPr>
      <xdr:spPr>
        <a:xfrm>
          <a:off x="342899" y="6610350"/>
          <a:ext cx="8362951"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a:solidFill>
                <a:schemeClr val="dk1"/>
              </a:solidFill>
              <a:effectLst/>
              <a:latin typeface="+mn-lt"/>
              <a:ea typeface="+mn-ea"/>
              <a:cs typeface="+mn-cs"/>
            </a:rPr>
            <a:t>Enfermedad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11</xdr:col>
      <xdr:colOff>1409699</xdr:colOff>
      <xdr:row>0</xdr:row>
      <xdr:rowOff>628650</xdr:rowOff>
    </xdr:to>
    <xdr:sp macro="" textlink="">
      <xdr:nvSpPr>
        <xdr:cNvPr id="5" name="6 Rectángulo redondeado"/>
        <xdr:cNvSpPr/>
      </xdr:nvSpPr>
      <xdr:spPr>
        <a:xfrm>
          <a:off x="0" y="0"/>
          <a:ext cx="9629774" cy="6286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2008 - 2014                                                     </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0</xdr:colOff>
      <xdr:row>8</xdr:row>
      <xdr:rowOff>95250</xdr:rowOff>
    </xdr:from>
    <xdr:to>
      <xdr:col>12</xdr:col>
      <xdr:colOff>666750</xdr:colOff>
      <xdr:row>33</xdr:row>
      <xdr:rowOff>86178</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762000</xdr:colOff>
      <xdr:row>0</xdr:row>
      <xdr:rowOff>925286</xdr:rowOff>
    </xdr:to>
    <xdr:sp macro="" textlink="">
      <xdr:nvSpPr>
        <xdr:cNvPr id="4" name="6 Rectángulo redondeado"/>
        <xdr:cNvSpPr/>
      </xdr:nvSpPr>
      <xdr:spPr>
        <a:xfrm>
          <a:off x="0" y="0"/>
          <a:ext cx="15838714"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0.03227</cdr:x>
      <cdr:y>0.91026</cdr:y>
    </cdr:from>
    <cdr:to>
      <cdr:x>0.83099</cdr:x>
      <cdr:y>0.99954</cdr:y>
    </cdr:to>
    <cdr:sp macro="" textlink="">
      <cdr:nvSpPr>
        <cdr:cNvPr id="2" name="4 CuadroTexto"/>
        <cdr:cNvSpPr txBox="1"/>
      </cdr:nvSpPr>
      <cdr:spPr>
        <a:xfrm xmlns:a="http://schemas.openxmlformats.org/drawingml/2006/main">
          <a:off x="508042" y="6494412"/>
          <a:ext cx="12574619" cy="63698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152400</xdr:rowOff>
    </xdr:to>
    <xdr:sp macro="" textlink="">
      <xdr:nvSpPr>
        <xdr:cNvPr id="4" name="6 Rectángulo redondeado"/>
        <xdr:cNvSpPr/>
      </xdr:nvSpPr>
      <xdr:spPr>
        <a:xfrm>
          <a:off x="0" y="0"/>
          <a:ext cx="897255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43295</xdr:colOff>
      <xdr:row>18</xdr:row>
      <xdr:rowOff>138545</xdr:rowOff>
    </xdr:from>
    <xdr:to>
      <xdr:col>12</xdr:col>
      <xdr:colOff>675408</xdr:colOff>
      <xdr:row>57</xdr:row>
      <xdr:rowOff>74220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1061356</xdr:rowOff>
    </xdr:to>
    <xdr:sp macro="" textlink="">
      <xdr:nvSpPr>
        <xdr:cNvPr id="5" name="6 Rectángulo redondeado"/>
        <xdr:cNvSpPr/>
      </xdr:nvSpPr>
      <xdr:spPr>
        <a:xfrm>
          <a:off x="0" y="0"/>
          <a:ext cx="14001750"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por Año</a:t>
          </a:r>
        </a:p>
        <a:p>
          <a:pPr algn="ctr" eaLnBrk="1" fontAlgn="auto" latinLnBrk="0" hangingPunct="1"/>
          <a:r>
            <a:rPr lang="es-DO" sz="1800" b="1">
              <a:solidFill>
                <a:schemeClr val="lt1"/>
              </a:solidFill>
              <a:effectLst/>
              <a:latin typeface="+mn-lt"/>
              <a:ea typeface="+mn-ea"/>
              <a:cs typeface="+mn-cs"/>
            </a:rPr>
            <a:t>Período: 2003 - Junio 2015</a:t>
          </a:r>
          <a:endParaRPr lang="es-DO" sz="2800">
            <a:effectLst/>
          </a:endParaRPr>
        </a:p>
      </xdr:txBody>
    </xdr:sp>
    <xdr:clientData/>
  </xdr:twoCellAnchor>
  <xdr:oneCellAnchor>
    <xdr:from>
      <xdr:col>0</xdr:col>
      <xdr:colOff>272142</xdr:colOff>
      <xdr:row>0</xdr:row>
      <xdr:rowOff>163285</xdr:rowOff>
    </xdr:from>
    <xdr:ext cx="857250" cy="500334"/>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142" y="163285"/>
          <a:ext cx="857250" cy="500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8.xml><?xml version="1.0" encoding="utf-8"?>
<xdr:wsDr xmlns:xdr="http://schemas.openxmlformats.org/drawingml/2006/spreadsheetDrawing" xmlns:a="http://schemas.openxmlformats.org/drawingml/2006/main">
  <xdr:twoCellAnchor>
    <xdr:from>
      <xdr:col>0</xdr:col>
      <xdr:colOff>0</xdr:colOff>
      <xdr:row>13</xdr:row>
      <xdr:rowOff>27214</xdr:rowOff>
    </xdr:from>
    <xdr:to>
      <xdr:col>13</xdr:col>
      <xdr:colOff>625928</xdr:colOff>
      <xdr:row>54</xdr:row>
      <xdr:rowOff>13607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Junio de 2015</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0</xdr:colOff>
      <xdr:row>12</xdr:row>
      <xdr:rowOff>149087</xdr:rowOff>
    </xdr:from>
    <xdr:to>
      <xdr:col>8</xdr:col>
      <xdr:colOff>647700</xdr:colOff>
      <xdr:row>33</xdr:row>
      <xdr:rowOff>123824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Junio 2015</a:t>
          </a:r>
          <a:endParaRPr lang="es-DO" sz="1800">
            <a:effectLst/>
          </a:endParaRPr>
        </a:p>
      </xdr:txBody>
    </xdr:sp>
    <xdr:clientData/>
  </xdr:twoCellAnchor>
  <xdr:twoCellAnchor editAs="oneCell">
    <xdr:from>
      <xdr:col>0</xdr:col>
      <xdr:colOff>352425</xdr:colOff>
      <xdr:row>0</xdr:row>
      <xdr:rowOff>66675</xdr:rowOff>
    </xdr:from>
    <xdr:to>
      <xdr:col>0</xdr:col>
      <xdr:colOff>924998</xdr:colOff>
      <xdr:row>1</xdr:row>
      <xdr:rowOff>9525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425" y="66675"/>
          <a:ext cx="572573"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9525</xdr:rowOff>
    </xdr:from>
    <xdr:to>
      <xdr:col>0</xdr:col>
      <xdr:colOff>1019175</xdr:colOff>
      <xdr:row>1</xdr:row>
      <xdr:rowOff>76200</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9525"/>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c:userShapes xmlns:c="http://schemas.openxmlformats.org/drawingml/2006/chart">
  <cdr:relSizeAnchor xmlns:cdr="http://schemas.openxmlformats.org/drawingml/2006/chartDrawing">
    <cdr:from>
      <cdr:x>0.04876</cdr:x>
      <cdr:y>0.89929</cdr:y>
    </cdr:from>
    <cdr:to>
      <cdr:x>0.33951</cdr:x>
      <cdr:y>0.95824</cdr:y>
    </cdr:to>
    <cdr:sp macro="" textlink="">
      <cdr:nvSpPr>
        <cdr:cNvPr id="2" name="2 CuadroTexto"/>
        <cdr:cNvSpPr txBox="1"/>
      </cdr:nvSpPr>
      <cdr:spPr>
        <a:xfrm xmlns:a="http://schemas.openxmlformats.org/drawingml/2006/main">
          <a:off x="781955" y="7849336"/>
          <a:ext cx="4662652" cy="51453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40.xml><?xml version="1.0" encoding="utf-8"?>
<xdr:wsDr xmlns:xdr="http://schemas.openxmlformats.org/drawingml/2006/spreadsheetDrawing" xmlns:a="http://schemas.openxmlformats.org/drawingml/2006/main">
  <xdr:twoCellAnchor editAs="oneCell">
    <xdr:from>
      <xdr:col>3</xdr:col>
      <xdr:colOff>281747</xdr:colOff>
      <xdr:row>6</xdr:row>
      <xdr:rowOff>95249</xdr:rowOff>
    </xdr:from>
    <xdr:to>
      <xdr:col>9</xdr:col>
      <xdr:colOff>707571</xdr:colOff>
      <xdr:row>33</xdr:row>
      <xdr:rowOff>12005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67747" y="1238249"/>
          <a:ext cx="4861753" cy="5060256"/>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10</xdr:col>
      <xdr:colOff>145676</xdr:colOff>
      <xdr:row>36</xdr:row>
      <xdr:rowOff>94520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11206</xdr:colOff>
      <xdr:row>4</xdr:row>
      <xdr:rowOff>33618</xdr:rowOff>
    </xdr:from>
    <xdr:to>
      <xdr:col>13</xdr:col>
      <xdr:colOff>672355</xdr:colOff>
      <xdr:row>43</xdr:row>
      <xdr:rowOff>100853</xdr:rowOff>
    </xdr:to>
    <xdr:sp macro="" textlink="">
      <xdr:nvSpPr>
        <xdr:cNvPr id="3" name="1 CuadroTexto"/>
        <xdr:cNvSpPr txBox="1"/>
      </xdr:nvSpPr>
      <xdr:spPr>
        <a:xfrm>
          <a:off x="11206" y="806824"/>
          <a:ext cx="10432678" cy="7855323"/>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El total de casos reportados por accidentes laborales y enfermedades profesionales desde el período 2005 al mes de junio 2015 es de 186,437 reportes.  El 98.6% de los reportes son de accidentes laborales y el 1.4% por enfermedades profesionales.   El incremento promedio anual de los reportes  de accidentes es de 27.5%, en el período enero 2005 a diciembre 2014.   En el mismo período, las provincias Altagracia, Santiago de los Caballeros, La Romana y Distrito Nacional han, ha reportado  el 70.5%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al mes de junio de 2015 el total de reportes de accidentes laborales y enfermedades profesionales fue de 16,559 de los cuales 84.6% de los reportes provenían de la zona urbana y el 15.3% de la rural.    Las empresas del sector público reportaron el 16.28% y el 83.72% del privado.  Del total de afiliados al ARL que sufrió algún tipo de accidente en el período enero-diciembre 2014, sector público reportó el 1.12% y el 2.17% del privado.   Para diciembre 2014, el porcentaje de afiliados registrados ARL con reporte de accidentes laborales o profesionales fue de 1.88%.</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al mes de junio 2015, el 28.7% de los accidentes son del sexo femenino y el 71.3% al masculino.  En el período enero- diciembre 2005 se registro que el 87.0% de los accidentes eran del sexo masculino,  comparada con el porcentaje de enero - diciembre 2014  que era de  un 71.4%, se observó una disminución en los reportes de un 15.6%, mientras que en los reportes del sexo femenino ha aumentó en igual porcentaje en el mismo período.</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Del total de accidentes reportados en el período enero 2005 a diciembre 2014,  el 7.37% de los afiliados tenían edades menores de 20 años y mayor de 60 años.  En cuanto al nivel educativo de los accidentados, el promedio histórico estimado en el período enero 2005  al mes de  junio 2015 es que, el 3.02%  que no tiene ninguna educación; el 32.34%  tiene una básica; el 46.27% a llegado a la educación media y el 9.24%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La cantidad de expedientes reportados por las ARL desde enero al mes de junio 2015,  se calificaron el 97.6%,  siendo un total de  16,169 expedientes calificados.  El 94.26% de los casos calificados fueron aprobados y el 5.74% declinados.  Solo en el 2013 se calificaron el 100% de los casos reportados.  El porcentaje promedio de los casos calificados desde el 2009 al mes de junio 2015 fue de 94.69%. </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Según el tipo de accidentes sufrido por los afiliados de enero al mes de junio 2015, el  67.11% fue un accidente  en el trabajo; el  26.27% en el trayecto, el 0.88% conexo,  y el 5.74% de los accidentes no fueron especificados.  Del total de accidentes el  89.9%  fue  de leve a moderado, el 3.8%  fueron grave o mortales, y el 0.6% sin lesión en el mes de junio 2015.</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2009 al mes de junio 2015, según las circunstancias de los imprevistos el 82.71% de los accidentes fue por factor de trabajo; el  2.09% por falta de organización y el 9.08% fue por factores o actos fuera de normas o personal.  En cuanto al agente dañino productor del accidente el 26.92% fue por medio de transporte; el 23.18% ambiente de trabajo; el 22.53% por herramientas e implementación; el 9.29%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Asimismo,  el  40.98% de los accidentes  reportados fueron en el área de producción y el 26.80% en el área de circulación vehicular o parqueos.  Al mes de junio 2015 el 86.13% de los casos reportados como calificados tenían lesiones Discapacitantes.  El año que  se reporto mayores lesiones Discapacitantes fue el año 2014, con un total de 25,583 representando el 84.35% de los casos calificados.   Al mes de  junio 2015, el 100% de los casos  en proceso de investigación, el 70.5% fueron declinados y el 29.5% aprobados.  </a:t>
          </a:r>
        </a:p>
      </xdr:txBody>
    </xdr:sp>
    <xdr:clientData/>
  </xdr:twoCellAnchor>
  <xdr:twoCellAnchor>
    <xdr:from>
      <xdr:col>0</xdr:col>
      <xdr:colOff>0</xdr:colOff>
      <xdr:row>0</xdr:row>
      <xdr:rowOff>0</xdr:rowOff>
    </xdr:from>
    <xdr:to>
      <xdr:col>13</xdr:col>
      <xdr:colOff>761999</xdr:colOff>
      <xdr:row>3</xdr:row>
      <xdr:rowOff>133350</xdr:rowOff>
    </xdr:to>
    <xdr:sp macro="" textlink="">
      <xdr:nvSpPr>
        <xdr:cNvPr id="4" name="4 Rectángulo redondeado"/>
        <xdr:cNvSpPr/>
      </xdr:nvSpPr>
      <xdr:spPr>
        <a:xfrm>
          <a:off x="0" y="0"/>
          <a:ext cx="10534649" cy="7048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459441</xdr:colOff>
      <xdr:row>0</xdr:row>
      <xdr:rowOff>134471</xdr:rowOff>
    </xdr:from>
    <xdr:to>
      <xdr:col>1</xdr:col>
      <xdr:colOff>449916</xdr:colOff>
      <xdr:row>3</xdr:row>
      <xdr:rowOff>105896</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0</xdr:colOff>
      <xdr:row>15</xdr:row>
      <xdr:rowOff>52189</xdr:rowOff>
    </xdr:from>
    <xdr:to>
      <xdr:col>9</xdr:col>
      <xdr:colOff>1135171</xdr:colOff>
      <xdr:row>43</xdr:row>
      <xdr:rowOff>104381</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458519</xdr:colOff>
      <xdr:row>41</xdr:row>
      <xdr:rowOff>87495</xdr:rowOff>
    </xdr:from>
    <xdr:to>
      <xdr:col>3</xdr:col>
      <xdr:colOff>275850</xdr:colOff>
      <xdr:row>43</xdr:row>
      <xdr:rowOff>22257</xdr:rowOff>
    </xdr:to>
    <xdr:sp macro="" textlink="">
      <xdr:nvSpPr>
        <xdr:cNvPr id="2" name="1 CuadroTexto"/>
        <xdr:cNvSpPr txBox="1"/>
      </xdr:nvSpPr>
      <xdr:spPr>
        <a:xfrm>
          <a:off x="458519" y="8727230"/>
          <a:ext cx="2686037"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a:t>
          </a:r>
        </a:p>
        <a:p>
          <a:pPr algn="ctr" eaLnBrk="1" fontAlgn="auto" latinLnBrk="0" hangingPunct="1"/>
          <a:r>
            <a:rPr lang="es-DO" sz="1400" b="1">
              <a:solidFill>
                <a:schemeClr val="lt1"/>
              </a:solidFill>
              <a:effectLst/>
              <a:latin typeface="+mn-lt"/>
              <a:ea typeface="+mn-ea"/>
              <a:cs typeface="+mn-cs"/>
            </a:rPr>
            <a:t>Período: 2005 -  Junio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a:t>
          </a:r>
          <a:endParaRPr lang="es-DO" sz="2000">
            <a:effectLst/>
          </a:endParaRPr>
        </a:p>
      </xdr:txBody>
    </xdr:sp>
    <xdr:clientData/>
  </xdr:twoCellAnchor>
  <xdr:twoCellAnchor editAs="oneCell">
    <xdr:from>
      <xdr:col>0</xdr:col>
      <xdr:colOff>508870</xdr:colOff>
      <xdr:row>0</xdr:row>
      <xdr:rowOff>156576</xdr:rowOff>
    </xdr:from>
    <xdr:to>
      <xdr:col>1</xdr:col>
      <xdr:colOff>290119</xdr:colOff>
      <xdr:row>0</xdr:row>
      <xdr:rowOff>626302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56576"/>
          <a:ext cx="668509" cy="469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52191</xdr:colOff>
      <xdr:row>15</xdr:row>
      <xdr:rowOff>146007</xdr:rowOff>
    </xdr:from>
    <xdr:to>
      <xdr:col>19</xdr:col>
      <xdr:colOff>678491</xdr:colOff>
      <xdr:row>58</xdr:row>
      <xdr:rowOff>13048</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Junio 2015</a:t>
          </a:r>
          <a:endParaRPr lang="es-DO" sz="2000">
            <a:effectLst/>
          </a:endParaRPr>
        </a:p>
      </xdr:txBody>
    </xdr:sp>
    <xdr:clientData/>
  </xdr:twoCellAnchor>
  <xdr:twoCellAnchor editAs="oneCell">
    <xdr:from>
      <xdr:col>0</xdr:col>
      <xdr:colOff>717637</xdr:colOff>
      <xdr:row>0</xdr:row>
      <xdr:rowOff>221815</xdr:rowOff>
    </xdr:from>
    <xdr:to>
      <xdr:col>1</xdr:col>
      <xdr:colOff>403013</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0</xdr:colOff>
      <xdr:row>36</xdr:row>
      <xdr:rowOff>35790</xdr:rowOff>
    </xdr:from>
    <xdr:to>
      <xdr:col>16</xdr:col>
      <xdr:colOff>353785</xdr:colOff>
      <xdr:row>61</xdr:row>
      <xdr:rowOff>108857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911678</xdr:rowOff>
    </xdr:to>
    <xdr:sp macro="" textlink="">
      <xdr:nvSpPr>
        <xdr:cNvPr id="3" name="6 Rectángulo redondeado"/>
        <xdr:cNvSpPr/>
      </xdr:nvSpPr>
      <xdr:spPr>
        <a:xfrm>
          <a:off x="0" y="0"/>
          <a:ext cx="13487400" cy="9116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400" b="1">
              <a:solidFill>
                <a:schemeClr val="lt1"/>
              </a:solidFill>
              <a:effectLst/>
              <a:latin typeface="+mn-lt"/>
              <a:ea typeface="+mn-ea"/>
              <a:cs typeface="+mn-cs"/>
            </a:rPr>
            <a:t>Período: 2005 - Junio 2015</a:t>
          </a:r>
          <a:endParaRPr lang="es-DO" sz="20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15</xdr:row>
      <xdr:rowOff>52191</xdr:rowOff>
    </xdr:from>
    <xdr:to>
      <xdr:col>11</xdr:col>
      <xdr:colOff>1174315</xdr:colOff>
      <xdr:row>45</xdr:row>
      <xdr:rowOff>117432</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26096</xdr:rowOff>
    </xdr:to>
    <xdr:sp macro="" textlink="">
      <xdr:nvSpPr>
        <xdr:cNvPr id="5" name="6 Rectángulo redondeado"/>
        <xdr:cNvSpPr/>
      </xdr:nvSpPr>
      <xdr:spPr>
        <a:xfrm>
          <a:off x="0" y="0"/>
          <a:ext cx="11782295" cy="90030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400" b="1">
              <a:solidFill>
                <a:schemeClr val="lt1"/>
              </a:solidFill>
              <a:effectLst/>
              <a:latin typeface="+mn-lt"/>
              <a:ea typeface="+mn-ea"/>
              <a:cs typeface="+mn-cs"/>
            </a:rPr>
            <a:t>Período:  2005 - Junio 2015</a:t>
          </a:r>
          <a:endParaRPr lang="es-DO" sz="2000">
            <a:effectLst/>
          </a:endParaRPr>
        </a:p>
      </xdr:txBody>
    </xdr:sp>
    <xdr:clientData/>
  </xdr:twoCellAnchor>
  <xdr:twoCellAnchor editAs="oneCell">
    <xdr:from>
      <xdr:col>0</xdr:col>
      <xdr:colOff>469726</xdr:colOff>
      <xdr:row>0</xdr:row>
      <xdr:rowOff>117431</xdr:rowOff>
    </xdr:from>
    <xdr:to>
      <xdr:col>1</xdr:col>
      <xdr:colOff>143528</xdr:colOff>
      <xdr:row>0</xdr:row>
      <xdr:rowOff>707981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6" y="117431"/>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371475</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13048</xdr:colOff>
      <xdr:row>15</xdr:row>
      <xdr:rowOff>130479</xdr:rowOff>
    </xdr:from>
    <xdr:to>
      <xdr:col>11</xdr:col>
      <xdr:colOff>1161267</xdr:colOff>
      <xdr:row>45</xdr:row>
      <xdr:rowOff>52190</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39144</xdr:rowOff>
    </xdr:to>
    <xdr:sp macro="" textlink="">
      <xdr:nvSpPr>
        <xdr:cNvPr id="5" name="6 Rectángulo redondeado"/>
        <xdr:cNvSpPr/>
      </xdr:nvSpPr>
      <xdr:spPr>
        <a:xfrm>
          <a:off x="0" y="0"/>
          <a:ext cx="11899726" cy="93945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Período: 2005 - Junio 2015</a:t>
          </a:r>
          <a:endParaRPr lang="es-DO" sz="2000">
            <a:effectLst/>
          </a:endParaRPr>
        </a:p>
      </xdr:txBody>
    </xdr:sp>
    <xdr:clientData/>
  </xdr:twoCellAnchor>
  <xdr:twoCellAnchor editAs="oneCell">
    <xdr:from>
      <xdr:col>0</xdr:col>
      <xdr:colOff>482774</xdr:colOff>
      <xdr:row>0</xdr:row>
      <xdr:rowOff>130480</xdr:rowOff>
    </xdr:from>
    <xdr:to>
      <xdr:col>1</xdr:col>
      <xdr:colOff>243263</xdr:colOff>
      <xdr:row>0</xdr:row>
      <xdr:rowOff>678494</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2774" y="130480"/>
          <a:ext cx="804325" cy="548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78288</xdr:colOff>
      <xdr:row>15</xdr:row>
      <xdr:rowOff>117431</xdr:rowOff>
    </xdr:from>
    <xdr:to>
      <xdr:col>9</xdr:col>
      <xdr:colOff>1190625</xdr:colOff>
      <xdr:row>43</xdr:row>
      <xdr:rowOff>114300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Junio 2015</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16</xdr:row>
      <xdr:rowOff>28966</xdr:rowOff>
    </xdr:from>
    <xdr:to>
      <xdr:col>13</xdr:col>
      <xdr:colOff>991643</xdr:colOff>
      <xdr:row>59</xdr:row>
      <xdr:rowOff>182671</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400" b="1">
              <a:solidFill>
                <a:schemeClr val="lt1"/>
              </a:solidFill>
              <a:effectLst/>
              <a:latin typeface="+mn-lt"/>
              <a:ea typeface="+mn-ea"/>
              <a:cs typeface="+mn-cs"/>
            </a:rPr>
            <a:t>Período: 2005 - Junio 2015</a:t>
          </a:r>
          <a:endParaRPr lang="es-DO" sz="2000">
            <a:effectLst/>
          </a:endParaRPr>
        </a:p>
      </xdr:txBody>
    </xdr:sp>
    <xdr:clientData/>
  </xdr:twoCellAnchor>
  <xdr:twoCellAnchor editAs="oneCell">
    <xdr:from>
      <xdr:col>0</xdr:col>
      <xdr:colOff>495823</xdr:colOff>
      <xdr:row>0</xdr:row>
      <xdr:rowOff>156575</xdr:rowOff>
    </xdr:from>
    <xdr:to>
      <xdr:col>1</xdr:col>
      <xdr:colOff>98907</xdr:colOff>
      <xdr:row>0</xdr:row>
      <xdr:rowOff>600205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823" y="156575"/>
          <a:ext cx="646920" cy="443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15</xdr:row>
      <xdr:rowOff>47717</xdr:rowOff>
    </xdr:from>
    <xdr:to>
      <xdr:col>12</xdr:col>
      <xdr:colOff>782877</xdr:colOff>
      <xdr:row>49</xdr:row>
      <xdr:rowOff>186024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Junio 2015</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155863</xdr:rowOff>
    </xdr:to>
    <xdr:sp macro="" textlink="">
      <xdr:nvSpPr>
        <xdr:cNvPr id="3" name="2 Rectángulo redondeado"/>
        <xdr:cNvSpPr/>
      </xdr:nvSpPr>
      <xdr:spPr>
        <a:xfrm>
          <a:off x="0" y="0"/>
          <a:ext cx="18154651" cy="11559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Trabajadores Afiliados Activos al SDSS, por  Sexo y Edad</a:t>
          </a:r>
        </a:p>
        <a:p>
          <a:pPr algn="ctr" eaLnBrk="1" fontAlgn="auto" latinLnBrk="0" hangingPunct="1"/>
          <a:r>
            <a:rPr lang="es-DO" sz="2000" b="1">
              <a:solidFill>
                <a:schemeClr val="lt1"/>
              </a:solidFill>
              <a:effectLst/>
              <a:latin typeface="+mn-lt"/>
              <a:ea typeface="+mn-ea"/>
              <a:cs typeface="+mn-cs"/>
            </a:rPr>
            <a:t>Junio 2015</a:t>
          </a:r>
          <a:endParaRPr lang="es-DO" sz="6000">
            <a:effectLst/>
          </a:endParaRPr>
        </a:p>
      </xdr:txBody>
    </xdr:sp>
    <xdr:clientData/>
  </xdr:twoCellAnchor>
  <xdr:twoCellAnchor editAs="oneCell">
    <xdr:from>
      <xdr:col>0</xdr:col>
      <xdr:colOff>710044</xdr:colOff>
      <xdr:row>1</xdr:row>
      <xdr:rowOff>69273</xdr:rowOff>
    </xdr:from>
    <xdr:to>
      <xdr:col>1</xdr:col>
      <xdr:colOff>536862</xdr:colOff>
      <xdr:row>1</xdr:row>
      <xdr:rowOff>760722</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044" y="240723"/>
          <a:ext cx="1039957"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57149</xdr:rowOff>
    </xdr:from>
    <xdr:to>
      <xdr:col>13</xdr:col>
      <xdr:colOff>2008910</xdr:colOff>
      <xdr:row>67</xdr:row>
      <xdr:rowOff>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51149</xdr:colOff>
      <xdr:row>16</xdr:row>
      <xdr:rowOff>39144</xdr:rowOff>
    </xdr:from>
    <xdr:to>
      <xdr:col>11</xdr:col>
      <xdr:colOff>1135172</xdr:colOff>
      <xdr:row>45</xdr:row>
      <xdr:rowOff>52583</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808973</xdr:rowOff>
    </xdr:to>
    <xdr:sp macro="" textlink="">
      <xdr:nvSpPr>
        <xdr:cNvPr id="5" name="6 Rectángulo redondeado"/>
        <xdr:cNvSpPr/>
      </xdr:nvSpPr>
      <xdr:spPr>
        <a:xfrm>
          <a:off x="0" y="0"/>
          <a:ext cx="12656507"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 Junio 2015</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13048</xdr:colOff>
      <xdr:row>12</xdr:row>
      <xdr:rowOff>90682</xdr:rowOff>
    </xdr:from>
    <xdr:to>
      <xdr:col>11</xdr:col>
      <xdr:colOff>900308</xdr:colOff>
      <xdr:row>42</xdr:row>
      <xdr:rowOff>78288</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13048</xdr:rowOff>
    </xdr:to>
    <xdr:sp macro="" textlink="">
      <xdr:nvSpPr>
        <xdr:cNvPr id="4" name="6 Rectángulo redondeado"/>
        <xdr:cNvSpPr/>
      </xdr:nvSpPr>
      <xdr:spPr>
        <a:xfrm>
          <a:off x="0" y="0"/>
          <a:ext cx="11664863" cy="78287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400" b="1">
              <a:solidFill>
                <a:schemeClr val="lt1"/>
              </a:solidFill>
              <a:effectLst/>
              <a:latin typeface="+mn-lt"/>
              <a:ea typeface="+mn-ea"/>
              <a:cs typeface="+mn-cs"/>
            </a:rPr>
            <a:t>Período: 2008 -</a:t>
          </a:r>
          <a:r>
            <a:rPr lang="es-DO" sz="1400" b="1" baseline="0">
              <a:solidFill>
                <a:schemeClr val="lt1"/>
              </a:solidFill>
              <a:effectLst/>
              <a:latin typeface="+mn-lt"/>
              <a:ea typeface="+mn-ea"/>
              <a:cs typeface="+mn-cs"/>
            </a:rPr>
            <a:t> J</a:t>
          </a:r>
          <a:r>
            <a:rPr lang="es-DO" sz="1400" b="1">
              <a:solidFill>
                <a:schemeClr val="lt1"/>
              </a:solidFill>
              <a:effectLst/>
              <a:latin typeface="+mn-lt"/>
              <a:ea typeface="+mn-ea"/>
              <a:cs typeface="+mn-cs"/>
            </a:rPr>
            <a:t>unio 2015</a:t>
          </a:r>
          <a:endParaRPr lang="es-DO" sz="2000">
            <a:effectLst/>
          </a:endParaRPr>
        </a:p>
      </xdr:txBody>
    </xdr:sp>
    <xdr:clientData/>
  </xdr:twoCellAnchor>
  <xdr:twoCellAnchor editAs="oneCell">
    <xdr:from>
      <xdr:col>0</xdr:col>
      <xdr:colOff>443629</xdr:colOff>
      <xdr:row>0</xdr:row>
      <xdr:rowOff>169623</xdr:rowOff>
    </xdr:from>
    <xdr:to>
      <xdr:col>1</xdr:col>
      <xdr:colOff>89863</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29213" cy="45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13606</xdr:colOff>
      <xdr:row>12</xdr:row>
      <xdr:rowOff>68036</xdr:rowOff>
    </xdr:from>
    <xdr:to>
      <xdr:col>20</xdr:col>
      <xdr:colOff>721178</xdr:colOff>
      <xdr:row>58</xdr:row>
      <xdr:rowOff>146958</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400" b="1">
              <a:solidFill>
                <a:schemeClr val="lt1"/>
              </a:solidFill>
              <a:effectLst/>
              <a:latin typeface="+mn-lt"/>
              <a:ea typeface="+mn-ea"/>
              <a:cs typeface="+mn-cs"/>
            </a:rPr>
            <a:t>Período: 2008 - Junio 2015</a:t>
          </a:r>
          <a:endParaRPr lang="es-DO" sz="2000">
            <a:effectLst/>
          </a:endParaRPr>
        </a:p>
      </xdr:txBody>
    </xdr:sp>
    <xdr:clientData/>
  </xdr:twoCellAnchor>
  <xdr:twoCellAnchor editAs="oneCell">
    <xdr:from>
      <xdr:col>0</xdr:col>
      <xdr:colOff>530679</xdr:colOff>
      <xdr:row>0</xdr:row>
      <xdr:rowOff>136071</xdr:rowOff>
    </xdr:from>
    <xdr:to>
      <xdr:col>1</xdr:col>
      <xdr:colOff>340179</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11</xdr:row>
      <xdr:rowOff>113260</xdr:rowOff>
    </xdr:from>
    <xdr:to>
      <xdr:col>9</xdr:col>
      <xdr:colOff>1088572</xdr:colOff>
      <xdr:row>42</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39</xdr:row>
      <xdr:rowOff>162485</xdr:rowOff>
    </xdr:from>
    <xdr:to>
      <xdr:col>2</xdr:col>
      <xdr:colOff>734787</xdr:colOff>
      <xdr:row>41</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Fuente: 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Junio 2015</a:t>
          </a:r>
          <a:endParaRPr lang="es-DO" sz="2400">
            <a:effectLst/>
          </a:endParaRPr>
        </a:p>
      </xdr:txBody>
    </xdr:sp>
    <xdr:clientData/>
  </xdr:twoCellAnchor>
  <xdr:twoCellAnchor editAs="oneCell">
    <xdr:from>
      <xdr:col>0</xdr:col>
      <xdr:colOff>489859</xdr:colOff>
      <xdr:row>0</xdr:row>
      <xdr:rowOff>190500</xdr:rowOff>
    </xdr:from>
    <xdr:to>
      <xdr:col>1</xdr:col>
      <xdr:colOff>248270</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55.xml><?xml version="1.0" encoding="utf-8"?>
<xdr:wsDr xmlns:xdr="http://schemas.openxmlformats.org/drawingml/2006/spreadsheetDrawing" xmlns:a="http://schemas.openxmlformats.org/drawingml/2006/main">
  <xdr:twoCellAnchor>
    <xdr:from>
      <xdr:col>0</xdr:col>
      <xdr:colOff>0</xdr:colOff>
      <xdr:row>13</xdr:row>
      <xdr:rowOff>66675</xdr:rowOff>
    </xdr:from>
    <xdr:to>
      <xdr:col>11</xdr:col>
      <xdr:colOff>991643</xdr:colOff>
      <xdr:row>43</xdr:row>
      <xdr:rowOff>52192</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1056883</xdr:colOff>
      <xdr:row>1</xdr:row>
      <xdr:rowOff>39144</xdr:rowOff>
    </xdr:to>
    <xdr:sp macro="" textlink="">
      <xdr:nvSpPr>
        <xdr:cNvPr id="5" name="6 Rectángulo redondeado"/>
        <xdr:cNvSpPr/>
      </xdr:nvSpPr>
      <xdr:spPr>
        <a:xfrm>
          <a:off x="0" y="0"/>
          <a:ext cx="10699315"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Junio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0</xdr:colOff>
      <xdr:row>13</xdr:row>
      <xdr:rowOff>27215</xdr:rowOff>
    </xdr:from>
    <xdr:to>
      <xdr:col>11</xdr:col>
      <xdr:colOff>1660072</xdr:colOff>
      <xdr:row>45</xdr:row>
      <xdr:rowOff>81643</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21</xdr:col>
      <xdr:colOff>0</xdr:colOff>
      <xdr:row>3</xdr:row>
      <xdr:rowOff>0</xdr:rowOff>
    </xdr:from>
    <xdr:to>
      <xdr:col>21</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Junio 2015</a:t>
          </a:r>
          <a:endParaRPr lang="es-DO" sz="2400">
            <a:effectLst/>
          </a:endParaRPr>
        </a:p>
      </xdr:txBody>
    </xdr:sp>
    <xdr:clientData/>
  </xdr:twoCellAnchor>
  <xdr:twoCellAnchor editAs="oneCell">
    <xdr:from>
      <xdr:col>0</xdr:col>
      <xdr:colOff>489857</xdr:colOff>
      <xdr:row>0</xdr:row>
      <xdr:rowOff>242008</xdr:rowOff>
    </xdr:from>
    <xdr:to>
      <xdr:col>1</xdr:col>
      <xdr:colOff>244929</xdr:colOff>
      <xdr:row>0</xdr:row>
      <xdr:rowOff>764265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9857" y="242008"/>
          <a:ext cx="843643" cy="52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38101</xdr:colOff>
      <xdr:row>11</xdr:row>
      <xdr:rowOff>182671</xdr:rowOff>
    </xdr:from>
    <xdr:to>
      <xdr:col>13</xdr:col>
      <xdr:colOff>952500</xdr:colOff>
      <xdr:row>43</xdr:row>
      <xdr:rowOff>52192</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39144</xdr:rowOff>
    </xdr:to>
    <xdr:sp macro="" textlink="">
      <xdr:nvSpPr>
        <xdr:cNvPr id="5" name="6 Rectángulo redondeado"/>
        <xdr:cNvSpPr/>
      </xdr:nvSpPr>
      <xdr:spPr>
        <a:xfrm>
          <a:off x="0" y="0"/>
          <a:ext cx="11377808"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Junio 2015</a:t>
          </a:r>
          <a:endParaRPr lang="es-DO" sz="2400">
            <a:effectLst/>
          </a:endParaRPr>
        </a:p>
      </xdr:txBody>
    </xdr:sp>
    <xdr:clientData/>
  </xdr:twoCellAnchor>
  <xdr:twoCellAnchor editAs="oneCell">
    <xdr:from>
      <xdr:col>0</xdr:col>
      <xdr:colOff>404487</xdr:colOff>
      <xdr:row>0</xdr:row>
      <xdr:rowOff>195719</xdr:rowOff>
    </xdr:from>
    <xdr:to>
      <xdr:col>0</xdr:col>
      <xdr:colOff>1043836</xdr:colOff>
      <xdr:row>0</xdr:row>
      <xdr:rowOff>638052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487" y="195719"/>
          <a:ext cx="639349" cy="442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38102</xdr:colOff>
      <xdr:row>11</xdr:row>
      <xdr:rowOff>62433</xdr:rowOff>
    </xdr:from>
    <xdr:to>
      <xdr:col>13</xdr:col>
      <xdr:colOff>857250</xdr:colOff>
      <xdr:row>43</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911679</xdr:colOff>
      <xdr:row>0</xdr:row>
      <xdr:rowOff>898072</xdr:rowOff>
    </xdr:to>
    <xdr:sp macro="" textlink="">
      <xdr:nvSpPr>
        <xdr:cNvPr id="5" name="6 Rectángulo redondeado"/>
        <xdr:cNvSpPr/>
      </xdr:nvSpPr>
      <xdr:spPr>
        <a:xfrm>
          <a:off x="0" y="0"/>
          <a:ext cx="11715750" cy="8980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600" b="1">
              <a:solidFill>
                <a:schemeClr val="lt1"/>
              </a:solidFill>
              <a:effectLst/>
              <a:latin typeface="+mn-lt"/>
              <a:ea typeface="+mn-ea"/>
              <a:cs typeface="+mn-cs"/>
            </a:rPr>
            <a:t>Período: 2009 - Junio 2015</a:t>
          </a:r>
          <a:endParaRPr lang="es-DO" sz="24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0</xdr:colOff>
      <xdr:row>12</xdr:row>
      <xdr:rowOff>39143</xdr:rowOff>
    </xdr:from>
    <xdr:to>
      <xdr:col>13</xdr:col>
      <xdr:colOff>587157</xdr:colOff>
      <xdr:row>42</xdr:row>
      <xdr:rowOff>130478</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Junio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10</xdr:col>
      <xdr:colOff>68036</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554184</xdr:colOff>
      <xdr:row>9</xdr:row>
      <xdr:rowOff>0</xdr:rowOff>
    </xdr:from>
    <xdr:to>
      <xdr:col>12</xdr:col>
      <xdr:colOff>340179</xdr:colOff>
      <xdr:row>31</xdr:row>
      <xdr:rowOff>27213</xdr:rowOff>
    </xdr:to>
    <xdr:sp macro="" textlink="">
      <xdr:nvSpPr>
        <xdr:cNvPr id="2" name="1 CuadroTexto"/>
        <xdr:cNvSpPr txBox="1"/>
      </xdr:nvSpPr>
      <xdr:spPr>
        <a:xfrm>
          <a:off x="554184" y="1714500"/>
          <a:ext cx="9066066" cy="4218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a:t>
          </a:r>
        </a:p>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 </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39144</xdr:colOff>
      <xdr:row>13</xdr:row>
      <xdr:rowOff>91334</xdr:rowOff>
    </xdr:from>
    <xdr:to>
      <xdr:col>12</xdr:col>
      <xdr:colOff>717637</xdr:colOff>
      <xdr:row>43</xdr:row>
      <xdr:rowOff>39144</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Ju</a:t>
          </a:r>
          <a:r>
            <a:rPr lang="es-DO" sz="1600" b="1">
              <a:solidFill>
                <a:schemeClr val="lt1"/>
              </a:solidFill>
              <a:effectLst/>
              <a:latin typeface="+mn-lt"/>
              <a:ea typeface="+mn-ea"/>
              <a:cs typeface="+mn-cs"/>
            </a:rPr>
            <a:t>nio 2015</a:t>
          </a:r>
          <a:endParaRPr lang="es-DO" sz="2400">
            <a:effectLst/>
          </a:endParaRPr>
        </a:p>
      </xdr:txBody>
    </xdr:sp>
    <xdr:clientData/>
  </xdr:twoCellAnchor>
  <xdr:twoCellAnchor editAs="oneCell">
    <xdr:from>
      <xdr:col>0</xdr:col>
      <xdr:colOff>508870</xdr:colOff>
      <xdr:row>0</xdr:row>
      <xdr:rowOff>104384</xdr:rowOff>
    </xdr:from>
    <xdr:to>
      <xdr:col>0</xdr:col>
      <xdr:colOff>1261345</xdr:colOff>
      <xdr:row>0</xdr:row>
      <xdr:rowOff>618734</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04384"/>
          <a:ext cx="7524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469726</xdr:colOff>
      <xdr:row>0</xdr:row>
      <xdr:rowOff>65240</xdr:rowOff>
    </xdr:from>
    <xdr:to>
      <xdr:col>0</xdr:col>
      <xdr:colOff>1265650</xdr:colOff>
      <xdr:row>0</xdr:row>
      <xdr:rowOff>655790</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9726" y="6524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76199</xdr:colOff>
      <xdr:row>11</xdr:row>
      <xdr:rowOff>149679</xdr:rowOff>
    </xdr:from>
    <xdr:to>
      <xdr:col>14</xdr:col>
      <xdr:colOff>693964</xdr:colOff>
      <xdr:row>47</xdr:row>
      <xdr:rowOff>122466</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27215</xdr:rowOff>
    </xdr:from>
    <xdr:to>
      <xdr:col>14</xdr:col>
      <xdr:colOff>748393</xdr:colOff>
      <xdr:row>1</xdr:row>
      <xdr:rowOff>0</xdr:rowOff>
    </xdr:to>
    <xdr:sp macro="" textlink="">
      <xdr:nvSpPr>
        <xdr:cNvPr id="5" name="6 Rectángulo redondeado"/>
        <xdr:cNvSpPr/>
      </xdr:nvSpPr>
      <xdr:spPr>
        <a:xfrm>
          <a:off x="0" y="27215"/>
          <a:ext cx="10722429" cy="8164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Accidentes Laborales Calificados con Lesiones Discapacitantes                                                                                                                                                                                                                                                         Período: 2009 - Junio 2015</a:t>
          </a:r>
          <a:endParaRPr lang="es-DO" sz="2400">
            <a:effectLst/>
          </a:endParaRPr>
        </a:p>
      </xdr:txBody>
    </xdr:sp>
    <xdr:clientData/>
  </xdr:twoCellAnchor>
  <xdr:twoCellAnchor editAs="oneCell">
    <xdr:from>
      <xdr:col>0</xdr:col>
      <xdr:colOff>394606</xdr:colOff>
      <xdr:row>0</xdr:row>
      <xdr:rowOff>217715</xdr:rowOff>
    </xdr:from>
    <xdr:to>
      <xdr:col>1</xdr:col>
      <xdr:colOff>95249</xdr:colOff>
      <xdr:row>0</xdr:row>
      <xdr:rowOff>707499</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6" y="217715"/>
          <a:ext cx="721179" cy="489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176893</xdr:rowOff>
    </xdr:from>
    <xdr:to>
      <xdr:col>1</xdr:col>
      <xdr:colOff>156388</xdr:colOff>
      <xdr:row>0</xdr:row>
      <xdr:rowOff>767443</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0" y="17689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xdr:row>
      <xdr:rowOff>130479</xdr:rowOff>
    </xdr:from>
    <xdr:to>
      <xdr:col>11</xdr:col>
      <xdr:colOff>816428</xdr:colOff>
      <xdr:row>43</xdr:row>
      <xdr:rowOff>108857</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829234</xdr:rowOff>
    </xdr:to>
    <xdr:sp macro="" textlink="">
      <xdr:nvSpPr>
        <xdr:cNvPr id="5" name="6 Rectángulo redondeado"/>
        <xdr:cNvSpPr/>
      </xdr:nvSpPr>
      <xdr:spPr>
        <a:xfrm>
          <a:off x="0" y="0"/>
          <a:ext cx="12749893" cy="82923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600" b="1">
              <a:solidFill>
                <a:schemeClr val="lt1"/>
              </a:solidFill>
              <a:effectLst/>
              <a:latin typeface="+mn-lt"/>
              <a:ea typeface="+mn-ea"/>
              <a:cs typeface="+mn-cs"/>
            </a:rPr>
            <a:t>Período: 2009 - Junio 2015</a:t>
          </a:r>
          <a:endParaRPr lang="es-DO" sz="2400">
            <a:effectLst/>
          </a:endParaRPr>
        </a:p>
      </xdr:txBody>
    </xdr:sp>
    <xdr:clientData/>
  </xdr:twoCellAnchor>
  <xdr:twoCellAnchor editAs="oneCell">
    <xdr:from>
      <xdr:col>0</xdr:col>
      <xdr:colOff>389005</xdr:colOff>
      <xdr:row>0</xdr:row>
      <xdr:rowOff>144282</xdr:rowOff>
    </xdr:from>
    <xdr:to>
      <xdr:col>0</xdr:col>
      <xdr:colOff>1224643</xdr:colOff>
      <xdr:row>0</xdr:row>
      <xdr:rowOff>669841</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9005" y="144282"/>
          <a:ext cx="835638" cy="525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11</xdr:row>
      <xdr:rowOff>104384</xdr:rowOff>
    </xdr:from>
    <xdr:to>
      <xdr:col>11</xdr:col>
      <xdr:colOff>990600</xdr:colOff>
      <xdr:row>43</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Junio  2015</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xdr:wsDr xmlns:xdr="http://schemas.openxmlformats.org/drawingml/2006/spreadsheetDrawing" xmlns:a="http://schemas.openxmlformats.org/drawingml/2006/main">
  <xdr:twoCellAnchor>
    <xdr:from>
      <xdr:col>0</xdr:col>
      <xdr:colOff>0</xdr:colOff>
      <xdr:row>12</xdr:row>
      <xdr:rowOff>0</xdr:rowOff>
    </xdr:from>
    <xdr:to>
      <xdr:col>12</xdr:col>
      <xdr:colOff>691542</xdr:colOff>
      <xdr:row>43</xdr:row>
      <xdr:rowOff>104384</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730685</xdr:colOff>
      <xdr:row>1</xdr:row>
      <xdr:rowOff>0</xdr:rowOff>
    </xdr:to>
    <xdr:sp macro="" textlink="">
      <xdr:nvSpPr>
        <xdr:cNvPr id="5" name="6 Rectángulo redondeado"/>
        <xdr:cNvSpPr/>
      </xdr:nvSpPr>
      <xdr:spPr>
        <a:xfrm>
          <a:off x="0" y="0"/>
          <a:ext cx="11338664"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Junio 2015</a:t>
          </a:r>
          <a:endParaRPr lang="es-DO" sz="2400">
            <a:effectLst/>
          </a:endParaRPr>
        </a:p>
      </xdr:txBody>
    </xdr:sp>
    <xdr:clientData/>
  </xdr:twoCellAnchor>
  <xdr:twoCellAnchor editAs="oneCell">
    <xdr:from>
      <xdr:col>0</xdr:col>
      <xdr:colOff>378390</xdr:colOff>
      <xdr:row>0</xdr:row>
      <xdr:rowOff>143527</xdr:rowOff>
    </xdr:from>
    <xdr:to>
      <xdr:col>1</xdr:col>
      <xdr:colOff>121008</xdr:colOff>
      <xdr:row>0</xdr:row>
      <xdr:rowOff>652397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143527"/>
          <a:ext cx="812550"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xdr:wsDr xmlns:xdr="http://schemas.openxmlformats.org/drawingml/2006/spreadsheetDrawing" xmlns:a="http://schemas.openxmlformats.org/drawingml/2006/main">
  <xdr:twoCellAnchor>
    <xdr:from>
      <xdr:col>0</xdr:col>
      <xdr:colOff>0</xdr:colOff>
      <xdr:row>11</xdr:row>
      <xdr:rowOff>49061</xdr:rowOff>
    </xdr:from>
    <xdr:to>
      <xdr:col>11</xdr:col>
      <xdr:colOff>1082979</xdr:colOff>
      <xdr:row>42</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Junio 2015</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10437</xdr:colOff>
      <xdr:row>11</xdr:row>
      <xdr:rowOff>70198</xdr:rowOff>
    </xdr:from>
    <xdr:to>
      <xdr:col>13</xdr:col>
      <xdr:colOff>965548</xdr:colOff>
      <xdr:row>43</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Junio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665445</xdr:colOff>
      <xdr:row>0</xdr:row>
      <xdr:rowOff>169623</xdr:rowOff>
    </xdr:from>
    <xdr:to>
      <xdr:col>1</xdr:col>
      <xdr:colOff>469725</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3</xdr:col>
      <xdr:colOff>190501</xdr:colOff>
      <xdr:row>5</xdr:row>
      <xdr:rowOff>38100</xdr:rowOff>
    </xdr:from>
    <xdr:to>
      <xdr:col>6</xdr:col>
      <xdr:colOff>1552575</xdr:colOff>
      <xdr:row>26</xdr:row>
      <xdr:rowOff>142875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76501" y="990600"/>
          <a:ext cx="3648074" cy="4105275"/>
        </a:xfrm>
        <a:prstGeom prst="rect">
          <a:avLst/>
        </a:prstGeom>
        <a:noFill/>
        <a:ln>
          <a:noFill/>
        </a:ln>
      </xdr:spPr>
    </xdr:pic>
    <xdr:clientData/>
  </xdr:twoCellAnchor>
  <xdr:twoCellAnchor>
    <xdr:from>
      <xdr:col>1</xdr:col>
      <xdr:colOff>56589</xdr:colOff>
      <xdr:row>7</xdr:row>
      <xdr:rowOff>161366</xdr:rowOff>
    </xdr:from>
    <xdr:to>
      <xdr:col>7</xdr:col>
      <xdr:colOff>739587</xdr:colOff>
      <xdr:row>20</xdr:row>
      <xdr:rowOff>100852</xdr:rowOff>
    </xdr:to>
    <xdr:sp macro="" textlink="">
      <xdr:nvSpPr>
        <xdr:cNvPr id="3" name="2 CuadroTexto"/>
        <xdr:cNvSpPr txBox="1"/>
      </xdr:nvSpPr>
      <xdr:spPr>
        <a:xfrm>
          <a:off x="818589" y="1494866"/>
          <a:ext cx="6902263" cy="2415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rgbClr val="0070C0"/>
              </a:solidFill>
              <a:effectLst/>
              <a:latin typeface="+mn-lt"/>
              <a:ea typeface="+mn-ea"/>
              <a:cs typeface="+mn-cs"/>
            </a:rPr>
            <a:t>CMNR</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Estadísticas de las Comisiones</a:t>
          </a:r>
          <a:r>
            <a:rPr lang="es-DO" sz="4000" b="1" baseline="0">
              <a:solidFill>
                <a:schemeClr val="accent3">
                  <a:lumMod val="50000"/>
                </a:schemeClr>
              </a:solidFill>
            </a:rPr>
            <a:t> Médicas Nacional y Regional</a:t>
          </a:r>
          <a:endParaRPr lang="es-DO" sz="4000" b="1">
            <a:solidFill>
              <a:schemeClr val="accent3">
                <a:lumMod val="50000"/>
              </a:schemeClr>
            </a:solidFill>
          </a:endParaRPr>
        </a:p>
      </xdr:txBody>
    </xdr:sp>
    <xdr:clientData/>
  </xdr:twoCellAnchor>
  <xdr:twoCellAnchor editAs="oneCell">
    <xdr:from>
      <xdr:col>0</xdr:col>
      <xdr:colOff>336175</xdr:colOff>
      <xdr:row>1</xdr:row>
      <xdr:rowOff>44824</xdr:rowOff>
    </xdr:from>
    <xdr:to>
      <xdr:col>1</xdr:col>
      <xdr:colOff>459440</xdr:colOff>
      <xdr:row>4</xdr:row>
      <xdr:rowOff>130162</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6175" y="235324"/>
          <a:ext cx="885265" cy="656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2</xdr:col>
      <xdr:colOff>733052</xdr:colOff>
      <xdr:row>11</xdr:row>
      <xdr:rowOff>41088</xdr:rowOff>
    </xdr:from>
    <xdr:to>
      <xdr:col>9</xdr:col>
      <xdr:colOff>396875</xdr:colOff>
      <xdr:row>33</xdr:row>
      <xdr:rowOff>111125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7052" y="2136588"/>
          <a:ext cx="4864473" cy="4261037"/>
        </a:xfrm>
        <a:prstGeom prst="rect">
          <a:avLst/>
        </a:prstGeom>
        <a:noFill/>
        <a:ln>
          <a:noFill/>
        </a:ln>
      </xdr:spPr>
    </xdr:pic>
    <xdr:clientData/>
  </xdr:twoCellAnchor>
  <xdr:twoCellAnchor>
    <xdr:from>
      <xdr:col>0</xdr:col>
      <xdr:colOff>56030</xdr:colOff>
      <xdr:row>4</xdr:row>
      <xdr:rowOff>0</xdr:rowOff>
    </xdr:from>
    <xdr:to>
      <xdr:col>12</xdr:col>
      <xdr:colOff>560295</xdr:colOff>
      <xdr:row>39</xdr:row>
      <xdr:rowOff>11206</xdr:rowOff>
    </xdr:to>
    <xdr:sp macro="" textlink="">
      <xdr:nvSpPr>
        <xdr:cNvPr id="3" name="1 CuadroTexto"/>
        <xdr:cNvSpPr txBox="1"/>
      </xdr:nvSpPr>
      <xdr:spPr>
        <a:xfrm>
          <a:off x="56030" y="762000"/>
          <a:ext cx="9513794" cy="667870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Regionales (CMNR) fuero concebida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compañíasde sguros interesado.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inciaron sus funciones con los esxpedientes de solicitud de evaluación y calificaciónde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evaluaciónen el esquema transitorio aprobado por el CNSS  mediante Resolución 97-03 del 5 de febrero de 2004, se contnuarán evaluando poe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junio de 2015 las Comisiones Médicas Regionales han rebido 10,914 solicitudes de evaluación de grado de discapacidad permanente, de los cuales 9,672 han sido emitidos y notificados dictámenes a las Comisiones Tecnicas de Discapacidad y a las AFP correspondientes, representando un 88.6%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9,672 dictámenes emitidos y notificados,  2,197 han sido apelados representando un 23%.  Dichas apelaciones han sido realizadas en un 67.59% por afiliados (1,485); un 28.54% por las compañías aseguradoras (627) y  85 casos con orígenes no especificados, equivalente a un 3.87%.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800" b="0" baseline="0">
              <a:solidFill>
                <a:sysClr val="windowText" lastClr="000000"/>
              </a:solidFill>
            </a:rPr>
            <a:t>                </a:t>
          </a:r>
          <a:endParaRPr lang="es-DO" sz="1800" b="0">
            <a:solidFill>
              <a:sysClr val="windowText" lastClr="000000"/>
            </a:solidFill>
          </a:endParaRPr>
        </a:p>
      </xdr:txBody>
    </xdr:sp>
    <xdr:clientData/>
  </xdr:twoCellAnchor>
  <xdr:twoCellAnchor>
    <xdr:from>
      <xdr:col>0</xdr:col>
      <xdr:colOff>0</xdr:colOff>
      <xdr:row>0</xdr:row>
      <xdr:rowOff>0</xdr:rowOff>
    </xdr:from>
    <xdr:to>
      <xdr:col>13</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Estadística</a:t>
          </a:r>
          <a:r>
            <a:rPr lang="es-DO" sz="2800" b="1" baseline="0">
              <a:solidFill>
                <a:schemeClr val="lt1"/>
              </a:solidFill>
              <a:effectLst/>
              <a:latin typeface="+mn-lt"/>
              <a:ea typeface="+mn-ea"/>
              <a:cs typeface="+mn-cs"/>
            </a:rPr>
            <a:t> Comisiones Médicas Nacional y Regional</a:t>
          </a:r>
          <a:endParaRPr lang="es-DO" sz="2800" b="1">
            <a:solidFill>
              <a:schemeClr val="lt1"/>
            </a:solidFill>
            <a:effectLst/>
            <a:latin typeface="+mn-lt"/>
            <a:ea typeface="+mn-ea"/>
            <a:cs typeface="+mn-cs"/>
          </a:endParaRPr>
        </a:p>
      </xdr:txBody>
    </xdr:sp>
    <xdr:clientData/>
  </xdr:twoCellAnchor>
  <xdr:twoCellAnchor editAs="oneCell">
    <xdr:from>
      <xdr:col>0</xdr:col>
      <xdr:colOff>112059</xdr:colOff>
      <xdr:row>0</xdr:row>
      <xdr:rowOff>44824</xdr:rowOff>
    </xdr:from>
    <xdr:to>
      <xdr:col>1</xdr:col>
      <xdr:colOff>100853</xdr:colOff>
      <xdr:row>3</xdr:row>
      <xdr:rowOff>30389</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059" y="44824"/>
          <a:ext cx="750794" cy="557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xdr:wsDr xmlns:xdr="http://schemas.openxmlformats.org/drawingml/2006/spreadsheetDrawing" xmlns:a="http://schemas.openxmlformats.org/drawingml/2006/main">
  <xdr:twoCellAnchor>
    <xdr:from>
      <xdr:col>0</xdr:col>
      <xdr:colOff>0</xdr:colOff>
      <xdr:row>12</xdr:row>
      <xdr:rowOff>123265</xdr:rowOff>
    </xdr:from>
    <xdr:to>
      <xdr:col>11</xdr:col>
      <xdr:colOff>705969</xdr:colOff>
      <xdr:row>37</xdr:row>
      <xdr:rowOff>67235</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750793</xdr:colOff>
      <xdr:row>1</xdr:row>
      <xdr:rowOff>0</xdr:rowOff>
    </xdr:to>
    <xdr:sp macro="" textlink="">
      <xdr:nvSpPr>
        <xdr:cNvPr id="4" name="4 Rectángulo redondeado"/>
        <xdr:cNvSpPr/>
      </xdr:nvSpPr>
      <xdr:spPr>
        <a:xfrm>
          <a:off x="0" y="0"/>
          <a:ext cx="10208558" cy="7395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Solicitudes Recibidas en las Comisiones Médicas por Estatus</a:t>
          </a:r>
        </a:p>
        <a:p>
          <a:pPr algn="ctr" eaLnBrk="1" fontAlgn="auto" latinLnBrk="0" hangingPunct="1"/>
          <a:r>
            <a:rPr lang="es-DO" sz="1600" b="1">
              <a:solidFill>
                <a:schemeClr val="lt1"/>
              </a:solidFill>
              <a:effectLst/>
              <a:latin typeface="+mn-lt"/>
              <a:ea typeface="+mn-ea"/>
              <a:cs typeface="+mn-cs"/>
            </a:rPr>
            <a:t>Período: Octubre 2008 -  Junio 2015</a:t>
          </a:r>
        </a:p>
      </xdr:txBody>
    </xdr:sp>
    <xdr:clientData/>
  </xdr:twoCellAnchor>
  <xdr:oneCellAnchor>
    <xdr:from>
      <xdr:col>0</xdr:col>
      <xdr:colOff>313765</xdr:colOff>
      <xdr:row>0</xdr:row>
      <xdr:rowOff>67234</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765" y="67234"/>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a:t>
          </a:r>
        </a:p>
        <a:p>
          <a:r>
            <a:rPr lang="en-US" sz="1300" b="0" i="0" u="none" strike="noStrike" baseline="0" smtClean="0">
              <a:solidFill>
                <a:schemeClr val="dk1"/>
              </a:solidFill>
              <a:latin typeface="+mn-lt"/>
              <a:ea typeface="+mn-ea"/>
              <a:cs typeface="+mn-cs"/>
            </a:rPr>
            <a:t>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conyuges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47625</xdr:colOff>
      <xdr:row>13</xdr:row>
      <xdr:rowOff>142875</xdr:rowOff>
    </xdr:from>
    <xdr:to>
      <xdr:col>12</xdr:col>
      <xdr:colOff>444500</xdr:colOff>
      <xdr:row>49</xdr:row>
      <xdr:rowOff>31750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15875</xdr:rowOff>
    </xdr:from>
    <xdr:to>
      <xdr:col>13</xdr:col>
      <xdr:colOff>15875</xdr:colOff>
      <xdr:row>1</xdr:row>
      <xdr:rowOff>31750</xdr:rowOff>
    </xdr:to>
    <xdr:sp macro="" textlink="">
      <xdr:nvSpPr>
        <xdr:cNvPr id="6" name="6 Rectángulo redondeado"/>
        <xdr:cNvSpPr/>
      </xdr:nvSpPr>
      <xdr:spPr>
        <a:xfrm>
          <a:off x="0" y="15875"/>
          <a:ext cx="13779500"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Apelaciones de Dictámenes de la CMNR</a:t>
          </a:r>
        </a:p>
        <a:p>
          <a:pPr algn="ctr" eaLnBrk="1" fontAlgn="auto" latinLnBrk="0" hangingPunct="1"/>
          <a:r>
            <a:rPr lang="es-DO" sz="2400" b="1">
              <a:solidFill>
                <a:schemeClr val="lt1"/>
              </a:solidFill>
              <a:effectLst/>
              <a:latin typeface="+mn-lt"/>
              <a:ea typeface="+mn-ea"/>
              <a:cs typeface="+mn-cs"/>
            </a:rPr>
            <a:t>Período: Octubre 2009 - Junio 2015</a:t>
          </a:r>
          <a:endParaRPr lang="es-DO" sz="3600">
            <a:effectLst/>
          </a:endParaRPr>
        </a:p>
      </xdr:txBody>
    </xdr:sp>
    <xdr:clientData/>
  </xdr:twoCellAnchor>
  <xdr:oneCellAnchor>
    <xdr:from>
      <xdr:col>0</xdr:col>
      <xdr:colOff>793750</xdr:colOff>
      <xdr:row>0</xdr:row>
      <xdr:rowOff>95250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3750" y="9525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1.xml><?xml version="1.0" encoding="utf-8"?>
<xdr:wsDr xmlns:xdr="http://schemas.openxmlformats.org/drawingml/2006/spreadsheetDrawing" xmlns:a="http://schemas.openxmlformats.org/drawingml/2006/main">
  <xdr:twoCellAnchor>
    <xdr:from>
      <xdr:col>0</xdr:col>
      <xdr:colOff>0</xdr:colOff>
      <xdr:row>11</xdr:row>
      <xdr:rowOff>9524</xdr:rowOff>
    </xdr:from>
    <xdr:to>
      <xdr:col>10</xdr:col>
      <xdr:colOff>485775</xdr:colOff>
      <xdr:row>35</xdr:row>
      <xdr:rowOff>114299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542925</xdr:colOff>
      <xdr:row>0</xdr:row>
      <xdr:rowOff>600075</xdr:rowOff>
    </xdr:to>
    <xdr:sp macro="" textlink="">
      <xdr:nvSpPr>
        <xdr:cNvPr id="4" name="4 Rectángulo redondeado"/>
        <xdr:cNvSpPr/>
      </xdr:nvSpPr>
      <xdr:spPr>
        <a:xfrm>
          <a:off x="0" y="0"/>
          <a:ext cx="9658350" cy="6000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Apelaciones por Entidad Receptora y Orígen</a:t>
          </a:r>
        </a:p>
        <a:p>
          <a:pPr algn="ctr" eaLnBrk="1" fontAlgn="auto" latinLnBrk="0" hangingPunct="1"/>
          <a:r>
            <a:rPr lang="es-DO" sz="1200" b="1">
              <a:solidFill>
                <a:schemeClr val="lt1"/>
              </a:solidFill>
              <a:effectLst/>
              <a:latin typeface="+mn-lt"/>
              <a:ea typeface="+mn-ea"/>
              <a:cs typeface="+mn-cs"/>
            </a:rPr>
            <a:t> Período: Octubre 2009 - Junio 2015</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265043</xdr:colOff>
      <xdr:row>20</xdr:row>
      <xdr:rowOff>149087</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027293" cy="3330437"/>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15</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2005 - 2014</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0</xdr:colOff>
      <xdr:row>17</xdr:row>
      <xdr:rowOff>78442</xdr:rowOff>
    </xdr:from>
    <xdr:to>
      <xdr:col>11</xdr:col>
      <xdr:colOff>302559</xdr:colOff>
      <xdr:row>50</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2005 - 2014</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2014.)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177.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3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335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335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17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22412</xdr:colOff>
      <xdr:row>4</xdr:row>
      <xdr:rowOff>22411</xdr:rowOff>
    </xdr:from>
    <xdr:to>
      <xdr:col>12</xdr:col>
      <xdr:colOff>717177</xdr:colOff>
      <xdr:row>53</xdr:row>
      <xdr:rowOff>67234</xdr:rowOff>
    </xdr:to>
    <xdr:sp macro="" textlink="">
      <xdr:nvSpPr>
        <xdr:cNvPr id="2" name="1 CuadroTexto"/>
        <xdr:cNvSpPr txBox="1"/>
      </xdr:nvSpPr>
      <xdr:spPr>
        <a:xfrm>
          <a:off x="22412" y="784411"/>
          <a:ext cx="10365441" cy="9379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SDSS.nEn cumplimienro del Decreto 342-09 del Popder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a:p>
          <a:pPr lvl="0"/>
          <a:endParaRPr lang="es-DO" sz="1200" b="1">
            <a:solidFill>
              <a:schemeClr val="accent3">
                <a:lumMod val="50000"/>
              </a:schemeClr>
            </a:solidFill>
          </a:endParaRP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123264</xdr:rowOff>
    </xdr:to>
    <xdr:sp macro="" textlink="">
      <xdr:nvSpPr>
        <xdr:cNvPr id="4" name="6 Rectángulo redondeado"/>
        <xdr:cNvSpPr/>
      </xdr:nvSpPr>
      <xdr:spPr>
        <a:xfrm>
          <a:off x="0" y="0"/>
          <a:ext cx="10443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381001</xdr:colOff>
      <xdr:row>1</xdr:row>
      <xdr:rowOff>1</xdr:rowOff>
    </xdr:from>
    <xdr:to>
      <xdr:col>1</xdr:col>
      <xdr:colOff>443203</xdr:colOff>
      <xdr:row>3</xdr:row>
      <xdr:rowOff>168089</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81001" y="190501"/>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9</xdr:col>
      <xdr:colOff>82629</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26334</xdr:colOff>
      <xdr:row>3</xdr:row>
      <xdr:rowOff>193862</xdr:rowOff>
    </xdr:from>
    <xdr:to>
      <xdr:col>12</xdr:col>
      <xdr:colOff>564217</xdr:colOff>
      <xdr:row>36</xdr:row>
      <xdr:rowOff>266140</xdr:rowOff>
    </xdr:to>
    <xdr:sp macro="" textlink="">
      <xdr:nvSpPr>
        <xdr:cNvPr id="3" name="2 CuadroTexto"/>
        <xdr:cNvSpPr txBox="1"/>
      </xdr:nvSpPr>
      <xdr:spPr>
        <a:xfrm>
          <a:off x="26334" y="917762"/>
          <a:ext cx="10205758" cy="653975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el mes de</a:t>
          </a:r>
          <a:r>
            <a:rPr lang="es-DO" sz="1400" baseline="0">
              <a:solidFill>
                <a:schemeClr val="dk1"/>
              </a:solidFill>
              <a:effectLst/>
              <a:latin typeface="+mn-lt"/>
              <a:ea typeface="+mn-ea"/>
              <a:cs typeface="+mn-cs"/>
            </a:rPr>
            <a:t> junio </a:t>
          </a:r>
          <a:r>
            <a:rPr lang="es-DO" sz="1400">
              <a:solidFill>
                <a:schemeClr val="dk1"/>
              </a:solidFill>
              <a:effectLst/>
              <a:latin typeface="+mn-lt"/>
              <a:ea typeface="+mn-ea"/>
              <a:cs typeface="+mn-cs"/>
            </a:rPr>
            <a:t>2015 la afiliación total del SFS ascendió a 6,358,916 personas, cubriendo de esta manera al 64%</a:t>
          </a:r>
          <a:r>
            <a:rPr lang="es-DO" sz="1400" baseline="0">
              <a:solidFill>
                <a:schemeClr val="dk1"/>
              </a:solidFill>
              <a:effectLst/>
              <a:latin typeface="+mn-lt"/>
              <a:ea typeface="+mn-ea"/>
              <a:cs typeface="+mn-cs"/>
            </a:rPr>
            <a:t> d</a:t>
          </a:r>
          <a:r>
            <a:rPr lang="es-DO" sz="1400">
              <a:solidFill>
                <a:schemeClr val="dk1"/>
              </a:solidFill>
              <a:effectLst/>
              <a:latin typeface="+mn-lt"/>
              <a:ea typeface="+mn-ea"/>
              <a:cs typeface="+mn-cs"/>
            </a:rPr>
            <a:t>e la población nacional.  La participación de los diferente regímenes de financiamiento es de  51.7% del Régimen Contributivo (RC),</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el 47.9% pertenecen al Régimen Subsidiado (RS) y el 0.5% al Régimen Especial Transitorio (RET).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La composición de la afiliación del Seguro Familiar de Salud (SFS) por sexo a junio del 2015 es de 51.5% femenino y 48.5% masculino, esto debido al peso mayor que tienen las mujeres en la afiliación del Régimen Subsidiado.  Al mes a junio 2015 la participación de mujeres en el Régimen Subsidiado fue de 53.4%; contrario al Régimen Contributivo, donde la participación masculina fue en promedio de 50.2%, lo que demuestra la inequidad de género tanto en el acceso al mercado laboral como en el fenómeno social de la pobreza.</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proyectar la afiliación en comparación a la población nacional, calculada en base a la tasa de  crecimiento media anual, se observa que si continua un comportamiento similar en el ritmo de crecimiento de la afiliación,  y se da inicio a la afiliación de los trabajadores independientes y cuentas propias  del Régimen Contributivo Subsidiado, se cubriría toda la población aproximadamente para el año 2020.   </a:t>
          </a:r>
        </a:p>
      </xdr:txBody>
    </xdr:sp>
    <xdr:clientData/>
  </xdr:twoCellAnchor>
  <xdr:twoCellAnchor>
    <xdr:from>
      <xdr:col>0</xdr:col>
      <xdr:colOff>0</xdr:colOff>
      <xdr:row>0</xdr:row>
      <xdr:rowOff>9525</xdr:rowOff>
    </xdr:from>
    <xdr:to>
      <xdr:col>13</xdr:col>
      <xdr:colOff>0</xdr:colOff>
      <xdr:row>3</xdr:row>
      <xdr:rowOff>123825</xdr:rowOff>
    </xdr:to>
    <xdr:sp macro="" textlink="">
      <xdr:nvSpPr>
        <xdr:cNvPr id="4" name="3 Rectángulo redondeado"/>
        <xdr:cNvSpPr/>
      </xdr:nvSpPr>
      <xdr:spPr>
        <a:xfrm>
          <a:off x="0" y="9525"/>
          <a:ext cx="10429875"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369794</xdr:colOff>
      <xdr:row>0</xdr:row>
      <xdr:rowOff>156881</xdr:rowOff>
    </xdr:from>
    <xdr:to>
      <xdr:col>1</xdr:col>
      <xdr:colOff>459212</xdr:colOff>
      <xdr:row>3</xdr:row>
      <xdr:rowOff>1</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69794" y="156881"/>
          <a:ext cx="851418" cy="571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7392865"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303303</xdr:colOff>
      <xdr:row>0</xdr:row>
      <xdr:rowOff>76043</xdr:rowOff>
    </xdr:from>
    <xdr:to>
      <xdr:col>0</xdr:col>
      <xdr:colOff>886238</xdr:colOff>
      <xdr:row>2</xdr:row>
      <xdr:rowOff>68193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17</xdr:row>
      <xdr:rowOff>95249</xdr:rowOff>
    </xdr:from>
    <xdr:to>
      <xdr:col>15</xdr:col>
      <xdr:colOff>606137</xdr:colOff>
      <xdr:row>47</xdr:row>
      <xdr:rowOff>225136</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2005 -</a:t>
          </a:r>
          <a:r>
            <a:rPr lang="es-DO" sz="2400" b="1" baseline="0">
              <a:solidFill>
                <a:schemeClr val="lt1"/>
              </a:solidFill>
              <a:effectLst/>
              <a:latin typeface="+mn-lt"/>
              <a:ea typeface="+mn-ea"/>
              <a:cs typeface="+mn-cs"/>
            </a:rPr>
            <a:t>  Junio 2015</a:t>
          </a:r>
          <a:endParaRPr lang="es-DO" sz="2400">
            <a:effectLst/>
          </a:endParaRPr>
        </a:p>
      </xdr:txBody>
    </xdr:sp>
    <xdr:clientData/>
  </xdr:twoCellAnchor>
  <xdr:twoCellAnchor editAs="oneCell">
    <xdr:from>
      <xdr:col>0</xdr:col>
      <xdr:colOff>796637</xdr:colOff>
      <xdr:row>0</xdr:row>
      <xdr:rowOff>190501</xdr:rowOff>
    </xdr:from>
    <xdr:to>
      <xdr:col>1</xdr:col>
      <xdr:colOff>450273</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0.04751</cdr:x>
      <cdr:y>0.92149</cdr:y>
    </cdr:from>
    <cdr:to>
      <cdr:x>0.28901</cdr:x>
      <cdr:y>0.96663</cdr:y>
    </cdr:to>
    <cdr:sp macro="" textlink="">
      <cdr:nvSpPr>
        <cdr:cNvPr id="2" name="2 CuadroTexto"/>
        <cdr:cNvSpPr txBox="1"/>
      </cdr:nvSpPr>
      <cdr:spPr>
        <a:xfrm xmlns:a="http://schemas.openxmlformats.org/drawingml/2006/main">
          <a:off x="951047" y="8130866"/>
          <a:ext cx="4834786" cy="39829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ONE, portal de la SISALRIL</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17</xdr:row>
      <xdr:rowOff>121227</xdr:rowOff>
    </xdr:from>
    <xdr:to>
      <xdr:col>16</xdr:col>
      <xdr:colOff>865908</xdr:colOff>
      <xdr:row>44</xdr:row>
      <xdr:rowOff>848591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17317</xdr:colOff>
      <xdr:row>0</xdr:row>
      <xdr:rowOff>1194955</xdr:rowOff>
    </xdr:to>
    <xdr:sp macro="" textlink="">
      <xdr:nvSpPr>
        <xdr:cNvPr id="4" name="3 Rectángulo redondeado"/>
        <xdr:cNvSpPr/>
      </xdr:nvSpPr>
      <xdr:spPr>
        <a:xfrm>
          <a:off x="0" y="0"/>
          <a:ext cx="19881272"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Contributivo (RC) 51.7% / Subsidiado (RS) 47.9% / Especial (RET) 0.5%</a:t>
          </a:r>
          <a:endParaRPr lang="es-DO" sz="4400">
            <a:effectLst/>
          </a:endParaRPr>
        </a:p>
      </xdr:txBody>
    </xdr:sp>
    <xdr:clientData/>
  </xdr:twoCellAnchor>
  <xdr:twoCellAnchor>
    <xdr:from>
      <xdr:col>0</xdr:col>
      <xdr:colOff>848591</xdr:colOff>
      <xdr:row>44</xdr:row>
      <xdr:rowOff>51955</xdr:rowOff>
    </xdr:from>
    <xdr:to>
      <xdr:col>6</xdr:col>
      <xdr:colOff>34636</xdr:colOff>
      <xdr:row>44</xdr:row>
      <xdr:rowOff>640773</xdr:rowOff>
    </xdr:to>
    <xdr:sp macro="" textlink="">
      <xdr:nvSpPr>
        <xdr:cNvPr id="7" name="6 CuadroTexto"/>
        <xdr:cNvSpPr txBox="1"/>
      </xdr:nvSpPr>
      <xdr:spPr>
        <a:xfrm>
          <a:off x="848591" y="14755091"/>
          <a:ext cx="6702136" cy="5888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813954</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15</xdr:row>
      <xdr:rowOff>121226</xdr:rowOff>
    </xdr:from>
    <xdr:to>
      <xdr:col>16</xdr:col>
      <xdr:colOff>710045</xdr:colOff>
      <xdr:row>42</xdr:row>
      <xdr:rowOff>762000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34637</xdr:rowOff>
    </xdr:to>
    <xdr:sp macro="" textlink="">
      <xdr:nvSpPr>
        <xdr:cNvPr id="4" name="3 Rectángulo redondeado"/>
        <xdr:cNvSpPr/>
      </xdr:nvSpPr>
      <xdr:spPr>
        <a:xfrm>
          <a:off x="0" y="1"/>
          <a:ext cx="2000250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52.3% / Subsidiado (RS) 47.3% / Especial (RET) 0.48%</a:t>
          </a:r>
          <a:endParaRPr lang="es-DO" sz="4400">
            <a:effectLst/>
          </a:endParaRPr>
        </a:p>
      </xdr:txBody>
    </xdr:sp>
    <xdr:clientData/>
  </xdr:twoCellAnchor>
  <xdr:oneCellAnchor>
    <xdr:from>
      <xdr:col>0</xdr:col>
      <xdr:colOff>969820</xdr:colOff>
      <xdr:row>0</xdr:row>
      <xdr:rowOff>190500</xdr:rowOff>
    </xdr:from>
    <xdr:ext cx="1141268" cy="818052"/>
    <xdr:pic>
      <xdr:nvPicPr>
        <xdr:cNvPr id="5" name="3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917863</xdr:colOff>
      <xdr:row>42</xdr:row>
      <xdr:rowOff>294410</xdr:rowOff>
    </xdr:from>
    <xdr:to>
      <xdr:col>7</xdr:col>
      <xdr:colOff>242454</xdr:colOff>
      <xdr:row>42</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Tesoreria </a:t>
          </a:r>
          <a:r>
            <a:rPr lang="es-DO" sz="2000" b="0" baseline="0"/>
            <a:t>de Seguridad Social (</a:t>
          </a:r>
          <a:r>
            <a:rPr lang="es-DO" sz="2000" b="0"/>
            <a:t>TSS)</a:t>
          </a:r>
        </a:p>
      </xdr:txBody>
    </xdr:sp>
    <xdr:clientData/>
  </xdr:twoCellAnchor>
  <xdr:twoCellAnchor editAs="oneCell">
    <xdr:from>
      <xdr:col>0</xdr:col>
      <xdr:colOff>969819</xdr:colOff>
      <xdr:row>0</xdr:row>
      <xdr:rowOff>190500</xdr:rowOff>
    </xdr:from>
    <xdr:to>
      <xdr:col>1</xdr:col>
      <xdr:colOff>917863</xdr:colOff>
      <xdr:row>0</xdr:row>
      <xdr:rowOff>1031668</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969819" y="190500"/>
          <a:ext cx="1177635" cy="841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1004455</xdr:colOff>
      <xdr:row>1</xdr:row>
      <xdr:rowOff>103908</xdr:rowOff>
    </xdr:to>
    <xdr:sp macro="" textlink="">
      <xdr:nvSpPr>
        <xdr:cNvPr id="3" name="2 Rectángulo redondeado"/>
        <xdr:cNvSpPr/>
      </xdr:nvSpPr>
      <xdr:spPr>
        <a:xfrm>
          <a:off x="0" y="0"/>
          <a:ext cx="18478500"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Afiliación  al Seguro Familiar de Salud por Sexo </a:t>
          </a:r>
        </a:p>
        <a:p>
          <a:pPr algn="ctr" eaLnBrk="1" fontAlgn="auto" latinLnBrk="0" hangingPunct="1"/>
          <a:r>
            <a:rPr lang="es-DO" sz="2000" b="1">
              <a:solidFill>
                <a:schemeClr val="lt1"/>
              </a:solidFill>
              <a:effectLst/>
              <a:latin typeface="+mn-lt"/>
              <a:ea typeface="+mn-ea"/>
              <a:cs typeface="+mn-cs"/>
            </a:rPr>
            <a:t>Hombres 48.5% / Mujeres 51.5% </a:t>
          </a:r>
          <a:endParaRPr lang="es-DO" sz="4400">
            <a:effectLst/>
          </a:endParaRPr>
        </a:p>
      </xdr:txBody>
    </xdr:sp>
    <xdr:clientData/>
  </xdr:twoCellAnchor>
  <xdr:oneCellAnchor>
    <xdr:from>
      <xdr:col>0</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952500</xdr:colOff>
      <xdr:row>42</xdr:row>
      <xdr:rowOff>34637</xdr:rowOff>
    </xdr:from>
    <xdr:to>
      <xdr:col>11</xdr:col>
      <xdr:colOff>277091</xdr:colOff>
      <xdr:row>42</xdr:row>
      <xdr:rowOff>484909</xdr:rowOff>
    </xdr:to>
    <xdr:sp macro="" textlink="">
      <xdr:nvSpPr>
        <xdr:cNvPr id="5" name="4 CuadroTexto"/>
        <xdr:cNvSpPr txBox="1"/>
      </xdr:nvSpPr>
      <xdr:spPr>
        <a:xfrm>
          <a:off x="952500" y="14760287"/>
          <a:ext cx="7744691"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a:t>TSS</a:t>
          </a:r>
        </a:p>
      </xdr:txBody>
    </xdr:sp>
    <xdr:clientData/>
  </xdr:twoCellAnchor>
  <xdr:twoCellAnchor>
    <xdr:from>
      <xdr:col>0</xdr:col>
      <xdr:colOff>0</xdr:colOff>
      <xdr:row>15</xdr:row>
      <xdr:rowOff>103910</xdr:rowOff>
    </xdr:from>
    <xdr:to>
      <xdr:col>15</xdr:col>
      <xdr:colOff>952500</xdr:colOff>
      <xdr:row>42</xdr:row>
      <xdr:rowOff>917864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969819</xdr:colOff>
      <xdr:row>0</xdr:row>
      <xdr:rowOff>190500</xdr:rowOff>
    </xdr:from>
    <xdr:to>
      <xdr:col>1</xdr:col>
      <xdr:colOff>571499</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0.03576</cdr:x>
      <cdr:y>0.90371</cdr:y>
    </cdr:from>
    <cdr:to>
      <cdr:x>0.45998</cdr:x>
      <cdr:y>0.97611</cdr:y>
    </cdr:to>
    <cdr:sp macro="" textlink="">
      <cdr:nvSpPr>
        <cdr:cNvPr id="3" name="2 CuadroTexto"/>
        <cdr:cNvSpPr txBox="1"/>
      </cdr:nvSpPr>
      <cdr:spPr>
        <a:xfrm xmlns:a="http://schemas.openxmlformats.org/drawingml/2006/main">
          <a:off x="738152" y="9171247"/>
          <a:ext cx="8757276" cy="7347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t>Incluye SFS RC y RS</a:t>
          </a:r>
        </a:p>
        <a:p xmlns:a="http://schemas.openxmlformats.org/drawingml/2006/main">
          <a:r>
            <a:rPr lang="en-US" sz="1600" b="1"/>
            <a:t>Fuente: </a:t>
          </a:r>
          <a:r>
            <a:rPr lang="en-US" sz="16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689669</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689669</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0</xdr:col>
      <xdr:colOff>1389784</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xdr:rowOff>
    </xdr:from>
    <xdr:to>
      <xdr:col>16</xdr:col>
      <xdr:colOff>-1</xdr:colOff>
      <xdr:row>0</xdr:row>
      <xdr:rowOff>1489365</xdr:rowOff>
    </xdr:to>
    <xdr:sp macro="" textlink="">
      <xdr:nvSpPr>
        <xdr:cNvPr id="9" name="8 Rectángulo redondeado"/>
        <xdr:cNvSpPr/>
      </xdr:nvSpPr>
      <xdr:spPr>
        <a:xfrm>
          <a:off x="0" y="1"/>
          <a:ext cx="18911454"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2005 - 2021</a:t>
          </a:r>
          <a:endParaRPr lang="es-DO" sz="4400">
            <a:effectLst/>
          </a:endParaRPr>
        </a:p>
      </xdr:txBody>
    </xdr:sp>
    <xdr:clientData/>
  </xdr:twoCellAnchor>
  <xdr:twoCellAnchor editAs="oneCell">
    <xdr:from>
      <xdr:col>0</xdr:col>
      <xdr:colOff>744681</xdr:colOff>
      <xdr:row>0</xdr:row>
      <xdr:rowOff>190500</xdr:rowOff>
    </xdr:from>
    <xdr:to>
      <xdr:col>1</xdr:col>
      <xdr:colOff>612197</xdr:colOff>
      <xdr:row>0</xdr:row>
      <xdr:rowOff>1096033</xdr:rowOff>
    </xdr:to>
    <xdr:pic>
      <xdr:nvPicPr>
        <xdr:cNvPr id="10"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190500"/>
          <a:ext cx="1356880" cy="90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34637</xdr:colOff>
      <xdr:row>23</xdr:row>
      <xdr:rowOff>138544</xdr:rowOff>
    </xdr:from>
    <xdr:to>
      <xdr:col>15</xdr:col>
      <xdr:colOff>917863</xdr:colOff>
      <xdr:row>64</xdr:row>
      <xdr:rowOff>34634</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744680</xdr:colOff>
      <xdr:row>0</xdr:row>
      <xdr:rowOff>155862</xdr:rowOff>
    </xdr:from>
    <xdr:to>
      <xdr:col>1</xdr:col>
      <xdr:colOff>588817</xdr:colOff>
      <xdr:row>0</xdr:row>
      <xdr:rowOff>1108363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44680" y="15586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11206</xdr:colOff>
      <xdr:row>5</xdr:row>
      <xdr:rowOff>33618</xdr:rowOff>
    </xdr:from>
    <xdr:to>
      <xdr:col>11</xdr:col>
      <xdr:colOff>1624854</xdr:colOff>
      <xdr:row>44</xdr:row>
      <xdr:rowOff>123265</xdr:rowOff>
    </xdr:to>
    <xdr:sp macro="" textlink="">
      <xdr:nvSpPr>
        <xdr:cNvPr id="2" name="1 CuadroTexto"/>
        <xdr:cNvSpPr txBox="1"/>
      </xdr:nvSpPr>
      <xdr:spPr>
        <a:xfrm>
          <a:off x="11206" y="986118"/>
          <a:ext cx="12259236" cy="74743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 junio de 2015 la población total afiliada asciende a  3,284,981 de los cuales 1,485,480 son titulares;  1,628,761 dependientes directos y 170,740 dependientes adicionales.  En ocho (8)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 junio</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2015, los afiliados titulares representan el 45.22% de la población total registrada en el SFS-RC; los</a:t>
          </a:r>
          <a:r>
            <a:rPr lang="en-US" sz="1400" baseline="0">
              <a:solidFill>
                <a:schemeClr val="dk1"/>
              </a:solidFill>
              <a:effectLst/>
              <a:latin typeface="+mn-lt"/>
              <a:ea typeface="+mn-ea"/>
              <a:cs typeface="+mn-cs"/>
            </a:rPr>
            <a:t> dependientes totales representan el 54.78% (l</a:t>
          </a:r>
          <a:r>
            <a:rPr lang="en-US" sz="1400">
              <a:solidFill>
                <a:schemeClr val="dk1"/>
              </a:solidFill>
              <a:effectLst/>
              <a:latin typeface="+mn-lt"/>
              <a:ea typeface="+mn-ea"/>
              <a:cs typeface="+mn-cs"/>
            </a:rPr>
            <a:t>os dependientes directos 49.58% y los dependientes adicionales 5.20%);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 (121 afiliados dependientes por cada 100  afiliados titulares) y de 1.10 para el índice de dependencia directa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a:t>
          </a:r>
          <a:r>
            <a:rPr lang="en-US" sz="1400" baseline="0">
              <a:solidFill>
                <a:schemeClr val="dk1"/>
              </a:solidFill>
              <a:effectLst/>
              <a:latin typeface="+mn-lt"/>
              <a:ea typeface="+mn-ea"/>
              <a:cs typeface="+mn-cs"/>
            </a:rPr>
            <a:t> mes de junio </a:t>
          </a:r>
          <a:r>
            <a:rPr lang="en-US" sz="1400">
              <a:solidFill>
                <a:schemeClr val="dk1"/>
              </a:solidFill>
              <a:effectLst/>
              <a:latin typeface="+mn-lt"/>
              <a:ea typeface="+mn-ea"/>
              <a:cs typeface="+mn-cs"/>
            </a:rPr>
            <a:t>2015;  para diciembre 2007 el índice de dependencia total era de 0.61 (61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b="0">
              <a:solidFill>
                <a:schemeClr val="dk1"/>
              </a:solidFill>
              <a:effectLst/>
              <a:latin typeface="+mn-lt"/>
              <a:ea typeface="+mn-ea"/>
              <a:cs typeface="+mn-cs"/>
            </a:rPr>
            <a:t>En las estadísticas de afiliación registradas por sexo y tipo, observamos que la población masculina inscrita en junio</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de 2015 fue de 1,649,081 y la femenina de 1,635,900 para una participación de 50.2% y 49.8% respectivamente. Si desagregamos la participación de ambos grupos por tipo de afiliación tenemos que en el grupo masculino los titulares representa el 51.66%,</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mientras que para el femenino fue de 38.73%.  La relación de dependencia en el grupo masculino es de 0.94 (94</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varones afiliados como dependientes por cada 100 afiliados como titulares);</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mientras que para el grupo femenino es de 1.58 (158</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b="0">
            <a:solidFill>
              <a:schemeClr val="dk1"/>
            </a:solidFill>
            <a:effectLst/>
            <a:latin typeface="+mn-lt"/>
            <a:ea typeface="+mn-ea"/>
            <a:cs typeface="+mn-cs"/>
          </a:endParaRPr>
        </a:p>
        <a:p>
          <a:pPr eaLnBrk="1" fontAlgn="auto" latinLnBrk="0" hangingPunct="1"/>
          <a:r>
            <a:rPr lang="en-US" sz="1400" b="0">
              <a:solidFill>
                <a:schemeClr val="dk1"/>
              </a:solidFill>
              <a:effectLst/>
              <a:latin typeface="+mn-lt"/>
              <a:ea typeface="+mn-ea"/>
              <a:cs typeface="+mn-cs"/>
            </a:rPr>
            <a:t>El índice de masculinidad en la afiliación total del Seguro Familiar de Salud  (SFS) del Régimen Contributivo (RC)</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se ha mantenido en promedio en 1.05 desde diciembre de 2007 a</a:t>
          </a:r>
          <a:r>
            <a:rPr lang="en-US" sz="1400" b="0" baseline="0">
              <a:solidFill>
                <a:schemeClr val="dk1"/>
              </a:solidFill>
              <a:effectLst/>
              <a:latin typeface="+mn-lt"/>
              <a:ea typeface="+mn-ea"/>
              <a:cs typeface="+mn-cs"/>
            </a:rPr>
            <a:t>l mes de junio </a:t>
          </a:r>
          <a:r>
            <a:rPr lang="en-US" sz="1400" b="0">
              <a:solidFill>
                <a:schemeClr val="dk1"/>
              </a:solidFill>
              <a:effectLst/>
              <a:latin typeface="+mn-lt"/>
              <a:ea typeface="+mn-ea"/>
              <a:cs typeface="+mn-cs"/>
            </a:rPr>
            <a:t>de 2015. </a:t>
          </a:r>
        </a:p>
        <a:p>
          <a:pPr eaLnBrk="1" fontAlgn="auto" latinLnBrk="0" hangingPunct="1"/>
          <a:r>
            <a:rPr lang="en-US" sz="1400" b="1">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4</xdr:row>
      <xdr:rowOff>112058</xdr:rowOff>
    </xdr:to>
    <xdr:sp macro="" textlink="">
      <xdr:nvSpPr>
        <xdr:cNvPr id="4" name="3 Rectángulo redondeado"/>
        <xdr:cNvSpPr/>
      </xdr:nvSpPr>
      <xdr:spPr>
        <a:xfrm>
          <a:off x="0" y="0"/>
          <a:ext cx="12472147" cy="87405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347383</xdr:colOff>
      <xdr:row>0</xdr:row>
      <xdr:rowOff>189700</xdr:rowOff>
    </xdr:from>
    <xdr:to>
      <xdr:col>1</xdr:col>
      <xdr:colOff>280148</xdr:colOff>
      <xdr:row>3</xdr:row>
      <xdr:rowOff>89647</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4481" b="13293"/>
        <a:stretch/>
      </xdr:blipFill>
      <xdr:spPr bwMode="auto">
        <a:xfrm>
          <a:off x="347383" y="189700"/>
          <a:ext cx="795618" cy="471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12</xdr:row>
      <xdr:rowOff>51954</xdr:rowOff>
    </xdr:from>
    <xdr:to>
      <xdr:col>15</xdr:col>
      <xdr:colOff>640773</xdr:colOff>
      <xdr:row>40</xdr:row>
      <xdr:rowOff>969818</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xdr:rowOff>
    </xdr:from>
    <xdr:to>
      <xdr:col>16</xdr:col>
      <xdr:colOff>0</xdr:colOff>
      <xdr:row>0</xdr:row>
      <xdr:rowOff>1264228</xdr:rowOff>
    </xdr:to>
    <xdr:sp macro="" textlink="">
      <xdr:nvSpPr>
        <xdr:cNvPr id="10" name="9 Rectángulo redondeado"/>
        <xdr:cNvSpPr/>
      </xdr:nvSpPr>
      <xdr:spPr>
        <a:xfrm>
          <a:off x="0" y="2"/>
          <a:ext cx="22808045" cy="12642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Junio 2015</a:t>
          </a:r>
          <a:endParaRPr lang="es-DO" sz="4000">
            <a:effectLst/>
          </a:endParaRPr>
        </a:p>
      </xdr:txBody>
    </xdr:sp>
    <xdr:clientData/>
  </xdr:twoCellAnchor>
  <xdr:twoCellAnchor editAs="oneCell">
    <xdr:from>
      <xdr:col>0</xdr:col>
      <xdr:colOff>554181</xdr:colOff>
      <xdr:row>0</xdr:row>
      <xdr:rowOff>226660</xdr:rowOff>
    </xdr:from>
    <xdr:to>
      <xdr:col>1</xdr:col>
      <xdr:colOff>527164</xdr:colOff>
      <xdr:row>0</xdr:row>
      <xdr:rowOff>1021772</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26660"/>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231321</xdr:colOff>
      <xdr:row>8</xdr:row>
      <xdr:rowOff>95251</xdr:rowOff>
    </xdr:from>
    <xdr:to>
      <xdr:col>11</xdr:col>
      <xdr:colOff>27214</xdr:colOff>
      <xdr:row>49</xdr:row>
      <xdr:rowOff>173182</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755321" y="2034887"/>
          <a:ext cx="8593529" cy="8182840"/>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81565"/>
          <a:ext cx="12775740" cy="8148808"/>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0.02994</cdr:x>
      <cdr:y>0.90635</cdr:y>
    </cdr:from>
    <cdr:to>
      <cdr:x>0.48674</cdr:x>
      <cdr:y>0.97492</cdr:y>
    </cdr:to>
    <cdr:sp macro="" textlink="">
      <cdr:nvSpPr>
        <cdr:cNvPr id="2" name="CuadroTexto 1"/>
        <cdr:cNvSpPr txBox="1"/>
      </cdr:nvSpPr>
      <cdr:spPr>
        <a:xfrm xmlns:a="http://schemas.openxmlformats.org/drawingml/2006/main">
          <a:off x="606136" y="9386455"/>
          <a:ext cx="9247909" cy="7100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0</xdr:colOff>
      <xdr:row>16</xdr:row>
      <xdr:rowOff>254578</xdr:rowOff>
    </xdr:from>
    <xdr:to>
      <xdr:col>17</xdr:col>
      <xdr:colOff>762000</xdr:colOff>
      <xdr:row>37</xdr:row>
      <xdr:rowOff>813956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900546</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  Junio 2014</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Junio 2015</a:t>
          </a:r>
          <a:endParaRPr lang="es-DO" sz="4000">
            <a:effectLst/>
          </a:endParaRPr>
        </a:p>
      </xdr:txBody>
    </xdr:sp>
    <xdr:clientData/>
  </xdr:twoCellAnchor>
  <xdr:twoCellAnchor editAs="oneCell">
    <xdr:from>
      <xdr:col>0</xdr:col>
      <xdr:colOff>554182</xdr:colOff>
      <xdr:row>0</xdr:row>
      <xdr:rowOff>173182</xdr:rowOff>
    </xdr:from>
    <xdr:to>
      <xdr:col>1</xdr:col>
      <xdr:colOff>606136</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12</xdr:row>
      <xdr:rowOff>69271</xdr:rowOff>
    </xdr:from>
    <xdr:to>
      <xdr:col>17</xdr:col>
      <xdr:colOff>727362</xdr:colOff>
      <xdr:row>38</xdr:row>
      <xdr:rowOff>900545</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Junio 2015</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16</xdr:row>
      <xdr:rowOff>242454</xdr:rowOff>
    </xdr:from>
    <xdr:to>
      <xdr:col>17</xdr:col>
      <xdr:colOff>675411</xdr:colOff>
      <xdr:row>41</xdr:row>
      <xdr:rowOff>103910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900546</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Junio 2014 -  Junio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900546</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Segruro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Junio 2015</a:t>
          </a:r>
          <a:endParaRPr lang="es-DO" sz="4000">
            <a:effectLst/>
          </a:endParaRPr>
        </a:p>
      </xdr:txBody>
    </xdr:sp>
    <xdr:clientData/>
  </xdr:twoCellAnchor>
  <xdr:twoCellAnchor editAs="oneCell">
    <xdr:from>
      <xdr:col>0</xdr:col>
      <xdr:colOff>606136</xdr:colOff>
      <xdr:row>0</xdr:row>
      <xdr:rowOff>207816</xdr:rowOff>
    </xdr:from>
    <xdr:to>
      <xdr:col>1</xdr:col>
      <xdr:colOff>848590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35</xdr:row>
      <xdr:rowOff>311726</xdr:rowOff>
    </xdr:from>
    <xdr:to>
      <xdr:col>17</xdr:col>
      <xdr:colOff>727363</xdr:colOff>
      <xdr:row>60</xdr:row>
      <xdr:rowOff>34635</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363681</xdr:colOff>
      <xdr:row>57</xdr:row>
      <xdr:rowOff>86591</xdr:rowOff>
    </xdr:from>
    <xdr:to>
      <xdr:col>6</xdr:col>
      <xdr:colOff>34636</xdr:colOff>
      <xdr:row>59</xdr:row>
      <xdr:rowOff>86591</xdr:rowOff>
    </xdr:to>
    <xdr:sp macro="" textlink="">
      <xdr:nvSpPr>
        <xdr:cNvPr id="8" name="7 CuadroTexto"/>
        <xdr:cNvSpPr txBox="1"/>
      </xdr:nvSpPr>
      <xdr:spPr>
        <a:xfrm>
          <a:off x="363681" y="11949546"/>
          <a:ext cx="6598228"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313765</xdr:colOff>
      <xdr:row>8</xdr:row>
      <xdr:rowOff>33618</xdr:rowOff>
    </xdr:from>
    <xdr:to>
      <xdr:col>8</xdr:col>
      <xdr:colOff>694765</xdr:colOff>
      <xdr:row>31</xdr:row>
      <xdr:rowOff>11206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1557618"/>
          <a:ext cx="4314264" cy="4359088"/>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44823</xdr:colOff>
      <xdr:row>4</xdr:row>
      <xdr:rowOff>134470</xdr:rowOff>
    </xdr:from>
    <xdr:to>
      <xdr:col>12</xdr:col>
      <xdr:colOff>695325</xdr:colOff>
      <xdr:row>37</xdr:row>
      <xdr:rowOff>152399</xdr:rowOff>
    </xdr:to>
    <xdr:sp macro="" textlink="">
      <xdr:nvSpPr>
        <xdr:cNvPr id="2" name="1 CuadroTexto"/>
        <xdr:cNvSpPr txBox="1"/>
      </xdr:nvSpPr>
      <xdr:spPr>
        <a:xfrm>
          <a:off x="44823" y="896470"/>
          <a:ext cx="10318377" cy="649492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a:t>
          </a:r>
          <a:r>
            <a:rPr lang="es-ES" sz="1400" b="0" baseline="0">
              <a:solidFill>
                <a:sysClr val="windowText" lastClr="000000"/>
              </a:solidFill>
              <a:latin typeface="+mn-lt"/>
              <a:ea typeface="+mn-ea"/>
              <a:cs typeface="+mn-cs"/>
            </a:rPr>
            <a:t>3,043,353 </a:t>
          </a:r>
          <a:r>
            <a:rPr lang="es-DO" sz="1400" b="0" baseline="0">
              <a:solidFill>
                <a:sysClr val="windowText" lastClr="000000"/>
              </a:solidFill>
              <a:latin typeface="+mn-lt"/>
              <a:ea typeface="+mn-ea"/>
              <a:cs typeface="+mn-cs"/>
            </a:rPr>
            <a:t>al mes de junio de 2015, de los cuales 1,832,898 eran titulares y 1,210,455 dependientes; con un índice de dependencia de 0.66 (66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junio de 2015 un 53.43%, el índice de dependencia de la afiliación femenina es de 0.55 lo que significa que por cada 100 mujeres afiliadas como titulares hay 55 dependientes;</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cuanto a la población masculina afiliada fue de 1,417,170 de los cuales 782,490 eran titulares representando un 55.21% del total de hombres afiliados.  El índice de masculinidad para dicho período fue de 0.87 (87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68035</xdr:colOff>
      <xdr:row>15</xdr:row>
      <xdr:rowOff>27213</xdr:rowOff>
    </xdr:from>
    <xdr:to>
      <xdr:col>13</xdr:col>
      <xdr:colOff>1619250</xdr:colOff>
      <xdr:row>53</xdr:row>
      <xdr:rowOff>68034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1687286</xdr:colOff>
      <xdr:row>0</xdr:row>
      <xdr:rowOff>1102178</xdr:rowOff>
    </xdr:to>
    <xdr:sp macro="" textlink="">
      <xdr:nvSpPr>
        <xdr:cNvPr id="6" name="5 Rectángulo redondeado"/>
        <xdr:cNvSpPr/>
      </xdr:nvSpPr>
      <xdr:spPr>
        <a:xfrm>
          <a:off x="0" y="0"/>
          <a:ext cx="14872607" cy="11021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1600" b="1">
              <a:solidFill>
                <a:schemeClr val="lt1"/>
              </a:solidFill>
              <a:effectLst/>
              <a:latin typeface="+mn-lt"/>
              <a:ea typeface="+mn-ea"/>
              <a:cs typeface="+mn-cs"/>
            </a:rPr>
            <a:t>Período:  Diciembre 2005 - Junio</a:t>
          </a:r>
          <a:r>
            <a:rPr lang="es-DO" sz="1600" b="1" baseline="0">
              <a:solidFill>
                <a:schemeClr val="lt1"/>
              </a:solidFill>
              <a:effectLst/>
              <a:latin typeface="+mn-lt"/>
              <a:ea typeface="+mn-ea"/>
              <a:cs typeface="+mn-cs"/>
            </a:rPr>
            <a:t> 2</a:t>
          </a:r>
          <a:r>
            <a:rPr lang="es-DO" sz="1600" b="1">
              <a:solidFill>
                <a:schemeClr val="lt1"/>
              </a:solidFill>
              <a:effectLst/>
              <a:latin typeface="+mn-lt"/>
              <a:ea typeface="+mn-ea"/>
              <a:cs typeface="+mn-cs"/>
            </a:rPr>
            <a:t>015</a:t>
          </a:r>
          <a:endParaRPr lang="es-DO" sz="3600">
            <a:effectLst/>
          </a:endParaRPr>
        </a:p>
      </xdr:txBody>
    </xdr:sp>
    <xdr:clientData/>
  </xdr:twoCellAnchor>
  <xdr:twoCellAnchor editAs="oneCell">
    <xdr:from>
      <xdr:col>0</xdr:col>
      <xdr:colOff>830036</xdr:colOff>
      <xdr:row>0</xdr:row>
      <xdr:rowOff>332832</xdr:rowOff>
    </xdr:from>
    <xdr:to>
      <xdr:col>1</xdr:col>
      <xdr:colOff>694011</xdr:colOff>
      <xdr:row>0</xdr:row>
      <xdr:rowOff>911679</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30036" y="332832"/>
          <a:ext cx="775654" cy="578847"/>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16</xdr:row>
      <xdr:rowOff>44822</xdr:rowOff>
    </xdr:from>
    <xdr:to>
      <xdr:col>13</xdr:col>
      <xdr:colOff>537882</xdr:colOff>
      <xdr:row>36</xdr:row>
      <xdr:rowOff>638734</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Junio 2014</a:t>
          </a:r>
          <a:r>
            <a:rPr lang="es-DO" sz="1400" b="1" baseline="0">
              <a:solidFill>
                <a:schemeClr val="lt1"/>
              </a:solidFill>
              <a:effectLst/>
              <a:latin typeface="+mn-lt"/>
              <a:ea typeface="+mn-ea"/>
              <a:cs typeface="+mn-cs"/>
            </a:rPr>
            <a:t> -  Junio 2015</a:t>
          </a:r>
          <a:endParaRPr lang="es-DO" sz="3200">
            <a:effectLst/>
          </a:endParaRPr>
        </a:p>
      </xdr:txBody>
    </xdr:sp>
    <xdr:clientData/>
  </xdr:twoCellAnchor>
  <xdr:twoCellAnchor editAs="oneCell">
    <xdr:from>
      <xdr:col>0</xdr:col>
      <xdr:colOff>363631</xdr:colOff>
      <xdr:row>0</xdr:row>
      <xdr:rowOff>140074</xdr:rowOff>
    </xdr:from>
    <xdr:to>
      <xdr:col>1</xdr:col>
      <xdr:colOff>286102</xdr:colOff>
      <xdr:row>0</xdr:row>
      <xdr:rowOff>682777</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63631" y="140074"/>
          <a:ext cx="684471" cy="542703"/>
        </a:xfrm>
        <a:prstGeom prst="rect">
          <a:avLst/>
        </a:prstGeom>
        <a:ln>
          <a:noFill/>
        </a:ln>
        <a:effectLst>
          <a:outerShdw blurRad="190500" algn="tl" rotWithShape="0">
            <a:srgbClr val="000000">
              <a:alpha val="70000"/>
            </a:srgbClr>
          </a:outerShdw>
        </a:effec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15</xdr:row>
      <xdr:rowOff>67235</xdr:rowOff>
    </xdr:from>
    <xdr:to>
      <xdr:col>13</xdr:col>
      <xdr:colOff>1524000</xdr:colOff>
      <xdr:row>42</xdr:row>
      <xdr:rowOff>118169</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1692087</xdr:colOff>
      <xdr:row>1</xdr:row>
      <xdr:rowOff>11206</xdr:rowOff>
    </xdr:to>
    <xdr:sp macro="" textlink="">
      <xdr:nvSpPr>
        <xdr:cNvPr id="5" name="3 Rectángulo redondeado"/>
        <xdr:cNvSpPr/>
      </xdr:nvSpPr>
      <xdr:spPr>
        <a:xfrm>
          <a:off x="0" y="0"/>
          <a:ext cx="13772028"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  Junio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a:t>
          </a:r>
          <a:endParaRPr lang="es-DO" sz="3200">
            <a:effectLst/>
          </a:endParaRPr>
        </a:p>
      </xdr:txBody>
    </xdr:sp>
    <xdr:clientData/>
  </xdr:twoCellAnchor>
  <xdr:twoCellAnchor editAs="oneCell">
    <xdr:from>
      <xdr:col>0</xdr:col>
      <xdr:colOff>437029</xdr:colOff>
      <xdr:row>0</xdr:row>
      <xdr:rowOff>190500</xdr:rowOff>
    </xdr:from>
    <xdr:to>
      <xdr:col>1</xdr:col>
      <xdr:colOff>459440</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16</xdr:row>
      <xdr:rowOff>36818</xdr:rowOff>
    </xdr:from>
    <xdr:to>
      <xdr:col>13</xdr:col>
      <xdr:colOff>163286</xdr:colOff>
      <xdr:row>41</xdr:row>
      <xdr:rowOff>77639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862852</xdr:rowOff>
    </xdr:to>
    <xdr:sp macro="" textlink="">
      <xdr:nvSpPr>
        <xdr:cNvPr id="5" name="4 Rectángulo redondeado"/>
        <xdr:cNvSpPr/>
      </xdr:nvSpPr>
      <xdr:spPr>
        <a:xfrm>
          <a:off x="0" y="0"/>
          <a:ext cx="1277470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  al  SFS del  RS por Tipo</a:t>
          </a:r>
        </a:p>
        <a:p>
          <a:pPr algn="ctr" eaLnBrk="1" fontAlgn="auto" latinLnBrk="0" hangingPunct="1"/>
          <a:r>
            <a:rPr lang="es-DO" sz="1400" b="1">
              <a:solidFill>
                <a:schemeClr val="lt1"/>
              </a:solidFill>
              <a:effectLst/>
              <a:latin typeface="+mn-lt"/>
              <a:ea typeface="+mn-ea"/>
              <a:cs typeface="+mn-cs"/>
            </a:rPr>
            <a:t>Período:  Junio 2014 -  Junio 2015</a:t>
          </a:r>
          <a:endParaRPr lang="es-DO" sz="32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900546</xdr:colOff>
      <xdr:row>0</xdr:row>
      <xdr:rowOff>1281545</xdr:rowOff>
    </xdr:to>
    <xdr:sp macro="" textlink="">
      <xdr:nvSpPr>
        <xdr:cNvPr id="2" name="1 Rectángulo redondeado"/>
        <xdr:cNvSpPr/>
      </xdr:nvSpPr>
      <xdr:spPr>
        <a:xfrm>
          <a:off x="0" y="0"/>
          <a:ext cx="18407496" cy="128154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Junio 2015</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909" y="225136"/>
          <a:ext cx="104676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35</xdr:row>
      <xdr:rowOff>311727</xdr:rowOff>
    </xdr:from>
    <xdr:to>
      <xdr:col>15</xdr:col>
      <xdr:colOff>710046</xdr:colOff>
      <xdr:row>59</xdr:row>
      <xdr:rowOff>51954</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519545</xdr:colOff>
      <xdr:row>56</xdr:row>
      <xdr:rowOff>155862</xdr:rowOff>
    </xdr:from>
    <xdr:to>
      <xdr:col>8</xdr:col>
      <xdr:colOff>640772</xdr:colOff>
      <xdr:row>58</xdr:row>
      <xdr:rowOff>121226</xdr:rowOff>
    </xdr:to>
    <xdr:sp macro="" textlink="">
      <xdr:nvSpPr>
        <xdr:cNvPr id="5" name="4 CuadroTexto"/>
        <xdr:cNvSpPr txBox="1"/>
      </xdr:nvSpPr>
      <xdr:spPr>
        <a:xfrm>
          <a:off x="519545" y="11291453"/>
          <a:ext cx="9680863" cy="3463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16</xdr:row>
      <xdr:rowOff>40823</xdr:rowOff>
    </xdr:from>
    <xdr:to>
      <xdr:col>10</xdr:col>
      <xdr:colOff>1183822</xdr:colOff>
      <xdr:row>45</xdr:row>
      <xdr:rowOff>27215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(MEPYD)</a:t>
          </a:r>
        </a:p>
        <a:p>
          <a:pPr algn="ctr" eaLnBrk="1" fontAlgn="auto" latinLnBrk="0" hangingPunct="1"/>
          <a:r>
            <a:rPr lang="es-DO" sz="1600" b="1">
              <a:solidFill>
                <a:schemeClr val="lt1"/>
              </a:solidFill>
              <a:effectLst/>
              <a:latin typeface="+mn-lt"/>
              <a:ea typeface="+mn-ea"/>
              <a:cs typeface="+mn-cs"/>
            </a:rPr>
            <a:t>Período: Diciembre 2005 - Junio 2015</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66674</xdr:colOff>
      <xdr:row>5</xdr:row>
      <xdr:rowOff>28575</xdr:rowOff>
    </xdr:from>
    <xdr:to>
      <xdr:col>11</xdr:col>
      <xdr:colOff>695324</xdr:colOff>
      <xdr:row>34</xdr:row>
      <xdr:rowOff>152400</xdr:rowOff>
    </xdr:to>
    <xdr:sp macro="" textlink="">
      <xdr:nvSpPr>
        <xdr:cNvPr id="2" name="1 CuadroTexto"/>
        <xdr:cNvSpPr txBox="1"/>
      </xdr:nvSpPr>
      <xdr:spPr>
        <a:xfrm>
          <a:off x="66674" y="981075"/>
          <a:ext cx="9248775" cy="56483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a:t>
          </a:r>
          <a:r>
            <a:rPr lang="es-DO" sz="1400" b="0" baseline="0">
              <a:solidFill>
                <a:sysClr val="windowText" lastClr="000000"/>
              </a:solidFill>
            </a:rPr>
            <a:t>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914400" marR="0" lvl="2"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Al mes de junio 2015 la afiliación de este Régimen Especial asciende a 30,582 afiliados, para un nivel de ejecución de afiliación de la población objetivo de 36%.  La distribución de la afiliación por ARS para este período es como sigue:  SEMMA  4,924 afiliados (16.1%); Salud Segura 15,129 afiliados (49.5%) y SENASA 10,529 afiliados (34.4%).</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295276</xdr:colOff>
      <xdr:row>0</xdr:row>
      <xdr:rowOff>179295</xdr:rowOff>
    </xdr:from>
    <xdr:to>
      <xdr:col>1</xdr:col>
      <xdr:colOff>200025</xdr:colOff>
      <xdr:row>3</xdr:row>
      <xdr:rowOff>72701</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295276" y="179295"/>
          <a:ext cx="666749" cy="464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10</xdr:row>
      <xdr:rowOff>81642</xdr:rowOff>
    </xdr:from>
    <xdr:to>
      <xdr:col>10</xdr:col>
      <xdr:colOff>1088572</xdr:colOff>
      <xdr:row>40</xdr:row>
      <xdr:rowOff>40821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22412</xdr:rowOff>
    </xdr:to>
    <xdr:sp macro="" textlink="">
      <xdr:nvSpPr>
        <xdr:cNvPr id="4" name="3 Rectángulo redondeado"/>
        <xdr:cNvSpPr/>
      </xdr:nvSpPr>
      <xdr:spPr>
        <a:xfrm>
          <a:off x="0" y="0"/>
          <a:ext cx="11353239" cy="8740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400" b="1">
              <a:solidFill>
                <a:schemeClr val="lt1"/>
              </a:solidFill>
              <a:effectLst/>
              <a:latin typeface="+mn-lt"/>
              <a:ea typeface="+mn-ea"/>
              <a:cs typeface="+mn-cs"/>
            </a:rPr>
            <a:t>Afiliación Anual de Pensionados al SFS</a:t>
          </a:r>
        </a:p>
        <a:p>
          <a:pPr algn="ctr" eaLnBrk="1" fontAlgn="auto" latinLnBrk="0" hangingPunct="1"/>
          <a:r>
            <a:rPr lang="es-DO" sz="1400" b="1">
              <a:solidFill>
                <a:schemeClr val="lt1"/>
              </a:solidFill>
              <a:effectLst/>
              <a:latin typeface="+mn-lt"/>
              <a:ea typeface="+mn-ea"/>
              <a:cs typeface="+mn-cs"/>
            </a:rPr>
            <a:t>Período:  Diciembre 2009 - </a:t>
          </a:r>
          <a:r>
            <a:rPr lang="es-DO" sz="1400" b="1" baseline="0">
              <a:solidFill>
                <a:schemeClr val="lt1"/>
              </a:solidFill>
              <a:effectLst/>
              <a:latin typeface="+mn-lt"/>
              <a:ea typeface="+mn-ea"/>
              <a:cs typeface="+mn-cs"/>
            </a:rPr>
            <a:t> Junio </a:t>
          </a:r>
          <a:r>
            <a:rPr lang="es-DO" sz="1400" b="1">
              <a:solidFill>
                <a:schemeClr val="lt1"/>
              </a:solidFill>
              <a:effectLst/>
              <a:latin typeface="+mn-lt"/>
              <a:ea typeface="+mn-ea"/>
              <a:cs typeface="+mn-cs"/>
            </a:rPr>
            <a:t>2015</a:t>
          </a:r>
          <a:endParaRPr lang="es-DO" sz="2800">
            <a:effectLst/>
          </a:endParaRPr>
        </a:p>
      </xdr:txBody>
    </xdr:sp>
    <xdr:clientData/>
  </xdr:twoCellAnchor>
  <xdr:twoCellAnchor editAs="oneCell">
    <xdr:from>
      <xdr:col>0</xdr:col>
      <xdr:colOff>549088</xdr:colOff>
      <xdr:row>0</xdr:row>
      <xdr:rowOff>179294</xdr:rowOff>
    </xdr:from>
    <xdr:to>
      <xdr:col>1</xdr:col>
      <xdr:colOff>424862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xdr:colOff>
      <xdr:row>16</xdr:row>
      <xdr:rowOff>190500</xdr:rowOff>
    </xdr:from>
    <xdr:to>
      <xdr:col>11</xdr:col>
      <xdr:colOff>816430</xdr:colOff>
      <xdr:row>46</xdr:row>
      <xdr:rowOff>13607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44824</xdr:rowOff>
    </xdr:to>
    <xdr:sp macro="" textlink="">
      <xdr:nvSpPr>
        <xdr:cNvPr id="5" name="4 Rectángulo redondeado"/>
        <xdr:cNvSpPr/>
      </xdr:nvSpPr>
      <xdr:spPr>
        <a:xfrm>
          <a:off x="0" y="0"/>
          <a:ext cx="11321143" cy="95650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 Junio 2014 -  Junio 2015</a:t>
          </a:r>
          <a:endParaRPr lang="es-DO" sz="3200">
            <a:effectLst/>
          </a:endParaRPr>
        </a:p>
      </xdr:txBody>
    </xdr:sp>
    <xdr:clientData/>
  </xdr:twoCellAnchor>
  <xdr:twoCellAnchor editAs="oneCell">
    <xdr:from>
      <xdr:col>0</xdr:col>
      <xdr:colOff>593912</xdr:colOff>
      <xdr:row>0</xdr:row>
      <xdr:rowOff>235323</xdr:rowOff>
    </xdr:from>
    <xdr:to>
      <xdr:col>1</xdr:col>
      <xdr:colOff>535080</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xdr:colOff>
      <xdr:row>17</xdr:row>
      <xdr:rowOff>13607</xdr:rowOff>
    </xdr:from>
    <xdr:to>
      <xdr:col>12</xdr:col>
      <xdr:colOff>938894</xdr:colOff>
      <xdr:row>51</xdr:row>
      <xdr:rowOff>122465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0</xdr:colOff>
      <xdr:row>1</xdr:row>
      <xdr:rowOff>122464</xdr:rowOff>
    </xdr:to>
    <xdr:sp macro="" textlink="">
      <xdr:nvSpPr>
        <xdr:cNvPr id="4" name="3 Rectángulo redondeado"/>
        <xdr:cNvSpPr/>
      </xdr:nvSpPr>
      <xdr:spPr>
        <a:xfrm>
          <a:off x="0" y="1"/>
          <a:ext cx="13573125" cy="10392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Junio 2014 - Junio 2015</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retiroy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sistama está en la obligación de selecionar su Administradora de Fondos de Pensionese informarlo a su empleador en un plazo establecido. Si el empleado no lo hace, el empleador tiene la obligación de inscribirlo a la AFP a la que se hayan afiliado la mayor parte de sus empleados. Cuando un trabajador preste servicio a dos o más empleadores deberá selecionar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Siembra,ScotiaCrecer y Romana) y  una AFP pública, la AFP Reservas, la cual tiene a su cargo la administración del Fondo de Solidadridad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86591</xdr:rowOff>
    </xdr:from>
    <xdr:to>
      <xdr:col>13</xdr:col>
      <xdr:colOff>637679</xdr:colOff>
      <xdr:row>54</xdr:row>
      <xdr:rowOff>87384</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29591"/>
          <a:ext cx="9071634" cy="9144793"/>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Sistema Dominicano de Seguridad Social</a:t>
            </a:r>
          </a:p>
          <a:p>
            <a:pPr algn="ctr"/>
            <a:r>
              <a:rPr lang="en-US" sz="24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400" b="1">
                <a:solidFill>
                  <a:schemeClr val="lt1"/>
                </a:solidFill>
                <a:latin typeface="+mn-lt"/>
                <a:ea typeface="+mn-ea"/>
                <a:cs typeface="+mn-cs"/>
              </a:rPr>
              <a:t>Subsidiado</a:t>
            </a:r>
          </a:p>
          <a:p>
            <a:pPr marL="0" indent="0" algn="ctr"/>
            <a:r>
              <a:rPr lang="en-US" sz="24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400" b="1">
                <a:solidFill>
                  <a:schemeClr val="lt1"/>
                </a:solidFill>
                <a:latin typeface="+mn-lt"/>
                <a:ea typeface="+mn-ea"/>
                <a:cs typeface="+mn-cs"/>
              </a:rPr>
              <a:t>Contributivo Subsidiado </a:t>
            </a:r>
          </a:p>
          <a:p>
            <a:pPr marL="0" indent="0" algn="ctr"/>
            <a:r>
              <a:rPr lang="en-US" sz="24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Familiar de Salud</a:t>
            </a:r>
            <a:endParaRPr lang="en-US" sz="28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Riesgos Laborales</a:t>
            </a:r>
            <a:endParaRPr lang="en-US" sz="28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Vejez</a:t>
            </a:r>
            <a:r>
              <a:rPr lang="en-US" sz="1200" b="1">
                <a:solidFill>
                  <a:schemeClr val="lt1"/>
                </a:solidFill>
                <a:effectLst/>
                <a:latin typeface="+mn-lt"/>
                <a:ea typeface="+mn-ea"/>
                <a:cs typeface="+mn-cs"/>
              </a:rPr>
              <a:t>, </a:t>
            </a:r>
            <a:r>
              <a:rPr lang="en-US" sz="20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57150</xdr:colOff>
      <xdr:row>4</xdr:row>
      <xdr:rowOff>152400</xdr:rowOff>
    </xdr:from>
    <xdr:to>
      <xdr:col>12</xdr:col>
      <xdr:colOff>705971</xdr:colOff>
      <xdr:row>41</xdr:row>
      <xdr:rowOff>134471</xdr:rowOff>
    </xdr:to>
    <xdr:sp macro="" textlink="">
      <xdr:nvSpPr>
        <xdr:cNvPr id="2" name="1 CuadroTexto"/>
        <xdr:cNvSpPr txBox="1"/>
      </xdr:nvSpPr>
      <xdr:spPr>
        <a:xfrm>
          <a:off x="57150" y="914400"/>
          <a:ext cx="10316696" cy="70877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La evolución en cifras del número de afiliados al SVDS, que constituye una variable acumulativa ha registrado un crecimiento promedio hasta junio 2015 de un 10.32%,  situándose para esa fecha en 3,164,622. El crecimiento promedio anual de los afiliados cotizantes activos fue de 8.87% pasando de 576,869 en diciembre de 2003 a 1,553,760 a junio de 2015. </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49.1% a junio 2015, reflejando una baja de 9.38%, debido principalmente a que la afiliación se acumula  y los cotizantes son los trabajadores que están activo al momento de producirse la información.</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Al finalizar el mes de junio de 2015, el 1.37% de los cotizantes eran menores de 19 años:  estando la mayor agrupación de cotizantes entre las edades de 20 a 49 años que representan el 78.24%; el 13.15% corresponde al grupo etario de las edades de 50 a 59 años y un aspecto a destacar es que el 7.24% de los cotizantes tienen más de 60 años. Con relación al sexo se tiene el 55.3% son masculinos y el 44.7%  femeninos.</a:t>
          </a:r>
          <a:endParaRPr lang="es-ES" sz="1400">
            <a:effectLst/>
          </a:endParaRP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68.1% de los cotizantes del sistema están dentro del rango de salario mínimos cotizables de 0-2 salarios;  el 26.1% entre 2-6 salarios mínimos y el 5.8% más de 6 salarios mínimos. </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De las cinco (5) Administradoras de Fondos de Pensiones, el 58.52% de los cotizantes están afiliados a dos AFP's;  Popular con un 29.8% y Scotia Crecer con un 28.8%.  En el  Sistema de Reparto cotizan alrededor de un 8.2% (5.5% en Reparto Individualizado y 2.6% en el Ministerio de Hacienda). </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Desde el año 2005 hasta junio 2015 se efectuaron un total de traspasos de afiliados, de los cuales 39,732 corresponden a  los traspasos de los docentes de la Secretaría de Estado de Educación afiliados a las AFP’s, al Instituto Nacional de Bienestar Magisterial (INABIMA).  Entre el enero 2005 al mes de junio 2015, las AFP cedieron 47,833 traspasos de afiliados, observándose que  se distribuyeron en las siguientes entidades de reparto: Ministerio de Hacienda e INABIMA. </a:t>
          </a:r>
          <a:endParaRPr lang="es-ES" sz="1400">
            <a:effectLst/>
          </a:endParaRPr>
        </a:p>
        <a:p>
          <a:pPr eaLnBrk="1" fontAlgn="auto" latinLnBrk="0" hangingPunct="1"/>
          <a:r>
            <a:rPr lang="es-DO" sz="1400" b="0" i="0" baseline="0">
              <a:solidFill>
                <a:schemeClr val="dk1"/>
              </a:solidFill>
              <a:effectLst/>
              <a:latin typeface="+mn-lt"/>
              <a:ea typeface="+mn-ea"/>
              <a:cs typeface="+mn-cs"/>
            </a:rPr>
            <a:t> </a:t>
          </a:r>
          <a:endParaRPr lang="es-ES" sz="1400">
            <a:effectLst/>
          </a:endParaRPr>
        </a:p>
        <a:p>
          <a:pPr eaLnBrk="1" fontAlgn="auto" latinLnBrk="0" hangingPunct="1"/>
          <a:r>
            <a:rPr lang="es-DO" sz="1400" b="0" i="0" baseline="0">
              <a:solidFill>
                <a:sysClr val="windowText" lastClr="000000"/>
              </a:solidFill>
              <a:effectLst/>
              <a:latin typeface="+mn-lt"/>
              <a:ea typeface="+mn-ea"/>
              <a:cs typeface="+mn-cs"/>
            </a:rPr>
            <a:t>Al evaluar la distribución geográfica de los afiliados al Sistema de Capitalización Individual, al 31 de marzo 2015 ,se observa una mayor concentración de los trabajadores en el Distrito Nacional, con un 21.8% del total de afiliados a nivel nacional, seguido por la provincia de Santo Domingo, con un 14.1% y la provincia de Santiago con un 11.1%, el resto de las provincias del país presentan una participación de   menor al 3.0%  del total de  la afiliación nacional cada una.</a:t>
          </a:r>
          <a:endParaRPr lang="es-ES" sz="1400">
            <a:solidFill>
              <a:sysClr val="windowText" lastClr="000000"/>
            </a:solidFill>
            <a:effectLst/>
          </a:endParaRPr>
        </a:p>
      </xdr:txBody>
    </xdr:sp>
    <xdr:clientData/>
  </xdr:twoCellAnchor>
  <xdr:twoCellAnchor>
    <xdr:from>
      <xdr:col>0</xdr:col>
      <xdr:colOff>0</xdr:colOff>
      <xdr:row>0</xdr:row>
      <xdr:rowOff>0</xdr:rowOff>
    </xdr:from>
    <xdr:to>
      <xdr:col>13</xdr:col>
      <xdr:colOff>0</xdr:colOff>
      <xdr:row>4</xdr:row>
      <xdr:rowOff>67235</xdr:rowOff>
    </xdr:to>
    <xdr:sp macro="" textlink="">
      <xdr:nvSpPr>
        <xdr:cNvPr id="3" name="2 Rectángulo redondeado"/>
        <xdr:cNvSpPr/>
      </xdr:nvSpPr>
      <xdr:spPr>
        <a:xfrm>
          <a:off x="0" y="0"/>
          <a:ext cx="10432676"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336176</xdr:colOff>
      <xdr:row>0</xdr:row>
      <xdr:rowOff>111536</xdr:rowOff>
    </xdr:from>
    <xdr:to>
      <xdr:col>1</xdr:col>
      <xdr:colOff>342914</xdr:colOff>
      <xdr:row>3</xdr:row>
      <xdr:rowOff>89648</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36176" y="111536"/>
          <a:ext cx="768738" cy="549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0</xdr:colOff>
      <xdr:row>16</xdr:row>
      <xdr:rowOff>156883</xdr:rowOff>
    </xdr:from>
    <xdr:to>
      <xdr:col>13</xdr:col>
      <xdr:colOff>421821</xdr:colOff>
      <xdr:row>48</xdr:row>
      <xdr:rowOff>190498</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 2003 -  Junio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52.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0</xdr:colOff>
      <xdr:row>16</xdr:row>
      <xdr:rowOff>79375</xdr:rowOff>
    </xdr:from>
    <xdr:to>
      <xdr:col>13</xdr:col>
      <xdr:colOff>1333500</xdr:colOff>
      <xdr:row>56</xdr:row>
      <xdr:rowOff>103910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317913</xdr:colOff>
      <xdr:row>53</xdr:row>
      <xdr:rowOff>68035</xdr:rowOff>
    </xdr:from>
    <xdr:to>
      <xdr:col>5</xdr:col>
      <xdr:colOff>617270</xdr:colOff>
      <xdr:row>55</xdr:row>
      <xdr:rowOff>13607</xdr:rowOff>
    </xdr:to>
    <xdr:sp macro="" textlink="">
      <xdr:nvSpPr>
        <xdr:cNvPr id="6" name="5 CuadroTexto"/>
        <xdr:cNvSpPr txBox="1"/>
      </xdr:nvSpPr>
      <xdr:spPr>
        <a:xfrm>
          <a:off x="317913" y="11827080"/>
          <a:ext cx="5893130"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4</xdr:col>
      <xdr:colOff>328840</xdr:colOff>
      <xdr:row>17</xdr:row>
      <xdr:rowOff>157515</xdr:rowOff>
    </xdr:from>
    <xdr:to>
      <xdr:col>10</xdr:col>
      <xdr:colOff>1298659</xdr:colOff>
      <xdr:row>19</xdr:row>
      <xdr:rowOff>140197</xdr:rowOff>
    </xdr:to>
    <xdr:sp macro="" textlink="">
      <xdr:nvSpPr>
        <xdr:cNvPr id="7" name="6 CuadroTexto"/>
        <xdr:cNvSpPr txBox="1"/>
      </xdr:nvSpPr>
      <xdr:spPr>
        <a:xfrm>
          <a:off x="5170715" y="5713765"/>
          <a:ext cx="6716569" cy="3636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2800" b="1"/>
            <a:t>Afiliación Mensual al SVDS del RC</a:t>
          </a:r>
        </a:p>
      </xdr:txBody>
    </xdr:sp>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Junio </a:t>
          </a:r>
          <a:r>
            <a:rPr lang="es-DO" sz="2000" b="1">
              <a:solidFill>
                <a:schemeClr val="lt1"/>
              </a:solidFill>
              <a:effectLst/>
              <a:latin typeface="+mn-lt"/>
              <a:ea typeface="+mn-ea"/>
              <a:cs typeface="+mn-cs"/>
            </a:rPr>
            <a:t>2014 -  Junio 2015</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67236</xdr:colOff>
      <xdr:row>15</xdr:row>
      <xdr:rowOff>112059</xdr:rowOff>
    </xdr:from>
    <xdr:to>
      <xdr:col>14</xdr:col>
      <xdr:colOff>627529</xdr:colOff>
      <xdr:row>53</xdr:row>
      <xdr:rowOff>156883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2005 -  Junio 2015</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4.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0</xdr:colOff>
      <xdr:row>14</xdr:row>
      <xdr:rowOff>40339</xdr:rowOff>
    </xdr:from>
    <xdr:to>
      <xdr:col>11</xdr:col>
      <xdr:colOff>2326821</xdr:colOff>
      <xdr:row>38</xdr:row>
      <xdr:rowOff>13608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Periodo: Junio 2015</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Junio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2015</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c:userShapes xmlns:c="http://schemas.openxmlformats.org/drawingml/2006/chart">
  <cdr:relSizeAnchor xmlns:cdr="http://schemas.openxmlformats.org/drawingml/2006/chartDrawing">
    <cdr:from>
      <cdr:x>0.04058</cdr:x>
      <cdr:y>0.92845</cdr:y>
    </cdr:from>
    <cdr:to>
      <cdr:x>0.7996</cdr:x>
      <cdr:y>0.96817</cdr:y>
    </cdr:to>
    <cdr:sp macro="" textlink="">
      <cdr:nvSpPr>
        <cdr:cNvPr id="2" name="1 CuadroTexto"/>
        <cdr:cNvSpPr txBox="1"/>
      </cdr:nvSpPr>
      <cdr:spPr>
        <a:xfrm xmlns:a="http://schemas.openxmlformats.org/drawingml/2006/main">
          <a:off x="501378" y="6356236"/>
          <a:ext cx="9377909" cy="2719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5</xdr:row>
      <xdr:rowOff>136072</xdr:rowOff>
    </xdr:from>
    <xdr:to>
      <xdr:col>11</xdr:col>
      <xdr:colOff>911677</xdr:colOff>
      <xdr:row>43</xdr:row>
      <xdr:rowOff>161683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 Afiliados Cotizantes por AFP's y Fondos de Reparto</a:t>
          </a:r>
        </a:p>
        <a:p>
          <a:pPr algn="ctr" eaLnBrk="1" fontAlgn="auto" latinLnBrk="0" hangingPunct="1"/>
          <a:r>
            <a:rPr lang="es-DO" sz="1600" b="1">
              <a:solidFill>
                <a:schemeClr val="lt1"/>
              </a:solidFill>
              <a:effectLst/>
              <a:latin typeface="+mn-lt"/>
              <a:ea typeface="+mn-ea"/>
              <a:cs typeface="+mn-cs"/>
            </a:rPr>
            <a:t>Período: Junio 2015</a:t>
          </a:r>
          <a:endParaRPr lang="es-DO" sz="3600">
            <a:effectLst/>
          </a:endParaRPr>
        </a:p>
      </xdr:txBody>
    </xdr:sp>
    <xdr:clientData/>
  </xdr:twoCellAnchor>
  <xdr:twoCellAnchor editAs="oneCell">
    <xdr:from>
      <xdr:col>0</xdr:col>
      <xdr:colOff>437029</xdr:colOff>
      <xdr:row>0</xdr:row>
      <xdr:rowOff>201706</xdr:rowOff>
    </xdr:from>
    <xdr:to>
      <xdr:col>1</xdr:col>
      <xdr:colOff>362286</xdr:colOff>
      <xdr:row>0</xdr:row>
      <xdr:rowOff>789214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201706"/>
          <a:ext cx="768900" cy="58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17</xdr:row>
      <xdr:rowOff>38099</xdr:rowOff>
    </xdr:from>
    <xdr:to>
      <xdr:col>13</xdr:col>
      <xdr:colOff>676275</xdr:colOff>
      <xdr:row>48</xdr:row>
      <xdr:rowOff>95249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289025</xdr:colOff>
      <xdr:row>44</xdr:row>
      <xdr:rowOff>134780</xdr:rowOff>
    </xdr:from>
    <xdr:to>
      <xdr:col>2</xdr:col>
      <xdr:colOff>590964</xdr:colOff>
      <xdr:row>46</xdr:row>
      <xdr:rowOff>103533</xdr:rowOff>
    </xdr:to>
    <xdr:sp macro="" textlink="">
      <xdr:nvSpPr>
        <xdr:cNvPr id="3" name="2 CuadroTexto"/>
        <xdr:cNvSpPr txBox="1"/>
      </xdr:nvSpPr>
      <xdr:spPr>
        <a:xfrm>
          <a:off x="289025" y="7126130"/>
          <a:ext cx="1721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2005 - Junio 2015</a:t>
          </a:r>
          <a:endParaRPr lang="es-DO" sz="2800">
            <a:effectLst/>
          </a:endParaRPr>
        </a:p>
      </xdr:txBody>
    </xdr:sp>
    <xdr:clientData/>
  </xdr:twoCellAnchor>
  <xdr:twoCellAnchor editAs="oneCell">
    <xdr:from>
      <xdr:col>0</xdr:col>
      <xdr:colOff>390526</xdr:colOff>
      <xdr:row>0</xdr:row>
      <xdr:rowOff>180975</xdr:rowOff>
    </xdr:from>
    <xdr:to>
      <xdr:col>1</xdr:col>
      <xdr:colOff>457201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333500" y="5132294"/>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18</xdr:row>
      <xdr:rowOff>24743</xdr:rowOff>
    </xdr:from>
    <xdr:to>
      <xdr:col>14</xdr:col>
      <xdr:colOff>519545</xdr:colOff>
      <xdr:row>57</xdr:row>
      <xdr:rowOff>21030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13606</xdr:colOff>
      <xdr:row>0</xdr:row>
      <xdr:rowOff>843642</xdr:rowOff>
    </xdr:to>
    <xdr:sp macro="" textlink="">
      <xdr:nvSpPr>
        <xdr:cNvPr id="4" name="3 Rectángulo redondeado"/>
        <xdr:cNvSpPr/>
      </xdr:nvSpPr>
      <xdr:spPr>
        <a:xfrm>
          <a:off x="0" y="0"/>
          <a:ext cx="13239749" cy="8436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Afiliados y Cotizantes del SVDS por Género</a:t>
          </a:r>
        </a:p>
        <a:p>
          <a:pPr algn="ctr" eaLnBrk="1" fontAlgn="auto" latinLnBrk="0" hangingPunct="1"/>
          <a:r>
            <a:rPr lang="es-DO" sz="1400" b="1">
              <a:solidFill>
                <a:schemeClr val="lt1"/>
              </a:solidFill>
              <a:effectLst/>
              <a:latin typeface="+mn-lt"/>
              <a:ea typeface="+mn-ea"/>
              <a:cs typeface="+mn-cs"/>
            </a:rPr>
            <a:t>Periodo: Diciembre 2003 -  Junio 2015</a:t>
          </a:r>
          <a:endParaRPr lang="es-DO" sz="14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16</xdr:row>
      <xdr:rowOff>136073</xdr:rowOff>
    </xdr:from>
    <xdr:to>
      <xdr:col>16</xdr:col>
      <xdr:colOff>987136</xdr:colOff>
      <xdr:row>56</xdr:row>
      <xdr:rowOff>34637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2005 -  Junio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2015</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3.xml><?xml version="1.0" encoding="utf-8"?>
<xdr:wsDr xmlns:xdr="http://schemas.openxmlformats.org/drawingml/2006/spreadsheetDrawing" xmlns:a="http://schemas.openxmlformats.org/drawingml/2006/main">
  <xdr:twoCellAnchor>
    <xdr:from>
      <xdr:col>8</xdr:col>
      <xdr:colOff>707571</xdr:colOff>
      <xdr:row>16</xdr:row>
      <xdr:rowOff>176893</xdr:rowOff>
    </xdr:from>
    <xdr:to>
      <xdr:col>16</xdr:col>
      <xdr:colOff>942094</xdr:colOff>
      <xdr:row>51</xdr:row>
      <xdr:rowOff>176092</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27215</xdr:colOff>
      <xdr:row>16</xdr:row>
      <xdr:rowOff>149678</xdr:rowOff>
    </xdr:from>
    <xdr:to>
      <xdr:col>8</xdr:col>
      <xdr:colOff>721180</xdr:colOff>
      <xdr:row>49</xdr:row>
      <xdr:rowOff>172811</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16</xdr:col>
      <xdr:colOff>993322</xdr:colOff>
      <xdr:row>0</xdr:row>
      <xdr:rowOff>1034143</xdr:rowOff>
    </xdr:to>
    <xdr:sp macro="" textlink="">
      <xdr:nvSpPr>
        <xdr:cNvPr id="5" name="4 Rectángulo redondeado"/>
        <xdr:cNvSpPr/>
      </xdr:nvSpPr>
      <xdr:spPr>
        <a:xfrm>
          <a:off x="0" y="0"/>
          <a:ext cx="12559393"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2005 - Junio  2015</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28573</xdr:colOff>
      <xdr:row>16</xdr:row>
      <xdr:rowOff>176893</xdr:rowOff>
    </xdr:from>
    <xdr:to>
      <xdr:col>9</xdr:col>
      <xdr:colOff>176891</xdr:colOff>
      <xdr:row>52</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136072</xdr:colOff>
      <xdr:row>16</xdr:row>
      <xdr:rowOff>149679</xdr:rowOff>
    </xdr:from>
    <xdr:to>
      <xdr:col>16</xdr:col>
      <xdr:colOff>830036</xdr:colOff>
      <xdr:row>52</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2005  - Junio 2015</a:t>
          </a:r>
          <a:endParaRPr lang="es-DO" sz="4000">
            <a:effectLst/>
          </a:endParaRPr>
        </a:p>
      </xdr:txBody>
    </xdr:sp>
    <xdr:clientData/>
  </xdr:twoCellAnchor>
  <xdr:twoCellAnchor editAs="oneCell">
    <xdr:from>
      <xdr:col>0</xdr:col>
      <xdr:colOff>421822</xdr:colOff>
      <xdr:row>0</xdr:row>
      <xdr:rowOff>235849</xdr:rowOff>
    </xdr:from>
    <xdr:to>
      <xdr:col>1</xdr:col>
      <xdr:colOff>389100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16</xdr:row>
      <xdr:rowOff>40821</xdr:rowOff>
    </xdr:from>
    <xdr:to>
      <xdr:col>10</xdr:col>
      <xdr:colOff>340179</xdr:colOff>
      <xdr:row>49</xdr:row>
      <xdr:rowOff>149678</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272145</xdr:colOff>
      <xdr:row>16</xdr:row>
      <xdr:rowOff>40821</xdr:rowOff>
    </xdr:from>
    <xdr:to>
      <xdr:col>18</xdr:col>
      <xdr:colOff>598716</xdr:colOff>
      <xdr:row>49</xdr:row>
      <xdr:rowOff>163286</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18</xdr:col>
      <xdr:colOff>761999</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2005 - Junio  2015</a:t>
          </a:r>
          <a:endParaRPr lang="es-DO" sz="4000">
            <a:effectLst/>
          </a:endParaRPr>
        </a:p>
      </xdr:txBody>
    </xdr:sp>
    <xdr:clientData/>
  </xdr:twoCellAnchor>
  <xdr:twoCellAnchor editAs="oneCell">
    <xdr:from>
      <xdr:col>0</xdr:col>
      <xdr:colOff>503464</xdr:colOff>
      <xdr:row>0</xdr:row>
      <xdr:rowOff>244930</xdr:rowOff>
    </xdr:from>
    <xdr:to>
      <xdr:col>1</xdr:col>
      <xdr:colOff>225441</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0</xdr:col>
      <xdr:colOff>433107</xdr:colOff>
      <xdr:row>0</xdr:row>
      <xdr:rowOff>74519</xdr:rowOff>
    </xdr:from>
    <xdr:to>
      <xdr:col>0</xdr:col>
      <xdr:colOff>1286276</xdr:colOff>
      <xdr:row>0</xdr:row>
      <xdr:rowOff>674594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3107" y="74519"/>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30</xdr:row>
      <xdr:rowOff>0</xdr:rowOff>
    </xdr:from>
    <xdr:to>
      <xdr:col>11</xdr:col>
      <xdr:colOff>9525</xdr:colOff>
      <xdr:row>30</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204107</xdr:colOff>
      <xdr:row>41</xdr:row>
      <xdr:rowOff>68035</xdr:rowOff>
    </xdr:from>
    <xdr:to>
      <xdr:col>10</xdr:col>
      <xdr:colOff>462644</xdr:colOff>
      <xdr:row>79</xdr:row>
      <xdr:rowOff>108856</xdr:rowOff>
    </xdr:to>
    <xdr:grpSp>
      <xdr:nvGrpSpPr>
        <xdr:cNvPr id="4" name="Grupo 3"/>
        <xdr:cNvGrpSpPr/>
      </xdr:nvGrpSpPr>
      <xdr:grpSpPr>
        <a:xfrm>
          <a:off x="216733" y="8241592"/>
          <a:ext cx="13020265" cy="6772117"/>
          <a:chOff x="0" y="-11103"/>
          <a:chExt cx="8678310" cy="5940248"/>
        </a:xfrm>
      </xdr:grpSpPr>
      <xdr:sp macro="" textlink="">
        <xdr:nvSpPr>
          <xdr:cNvPr id="5" name="Forma libre 4"/>
          <xdr:cNvSpPr/>
        </xdr:nvSpPr>
        <xdr:spPr>
          <a:xfrm>
            <a:off x="4712454" y="3493974"/>
            <a:ext cx="289101" cy="316087"/>
          </a:xfrm>
          <a:custGeom>
            <a:avLst/>
            <a:gdLst>
              <a:gd name="connsiteX0" fmla="*/ 30996 w 289101"/>
              <a:gd name="connsiteY0" fmla="*/ 316026 h 316087"/>
              <a:gd name="connsiteX1" fmla="*/ 59571 w 289101"/>
              <a:gd name="connsiteY1" fmla="*/ 258876 h 316087"/>
              <a:gd name="connsiteX2" fmla="*/ 97671 w 289101"/>
              <a:gd name="connsiteY2" fmla="*/ 211251 h 316087"/>
              <a:gd name="connsiteX3" fmla="*/ 88146 w 289101"/>
              <a:gd name="connsiteY3" fmla="*/ 182676 h 316087"/>
              <a:gd name="connsiteX4" fmla="*/ 59571 w 289101"/>
              <a:gd name="connsiteY4" fmla="*/ 173151 h 316087"/>
              <a:gd name="connsiteX5" fmla="*/ 21471 w 289101"/>
              <a:gd name="connsiteY5" fmla="*/ 116001 h 316087"/>
              <a:gd name="connsiteX6" fmla="*/ 11946 w 289101"/>
              <a:gd name="connsiteY6" fmla="*/ 49326 h 316087"/>
              <a:gd name="connsiteX7" fmla="*/ 40521 w 289101"/>
              <a:gd name="connsiteY7" fmla="*/ 39801 h 316087"/>
              <a:gd name="connsiteX8" fmla="*/ 59571 w 289101"/>
              <a:gd name="connsiteY8" fmla="*/ 1701 h 316087"/>
              <a:gd name="connsiteX9" fmla="*/ 88146 w 289101"/>
              <a:gd name="connsiteY9" fmla="*/ 11226 h 316087"/>
              <a:gd name="connsiteX10" fmla="*/ 116721 w 289101"/>
              <a:gd name="connsiteY10" fmla="*/ 77901 h 316087"/>
              <a:gd name="connsiteX11" fmla="*/ 211971 w 289101"/>
              <a:gd name="connsiteY11" fmla="*/ 87426 h 316087"/>
              <a:gd name="connsiteX12" fmla="*/ 259596 w 289101"/>
              <a:gd name="connsiteY12" fmla="*/ 96951 h 316087"/>
              <a:gd name="connsiteX13" fmla="*/ 288171 w 289101"/>
              <a:gd name="connsiteY13" fmla="*/ 125526 h 316087"/>
              <a:gd name="connsiteX14" fmla="*/ 278646 w 289101"/>
              <a:gd name="connsiteY14" fmla="*/ 173151 h 316087"/>
              <a:gd name="connsiteX15" fmla="*/ 269121 w 289101"/>
              <a:gd name="connsiteY15" fmla="*/ 201726 h 316087"/>
              <a:gd name="connsiteX16" fmla="*/ 192921 w 289101"/>
              <a:gd name="connsiteY16" fmla="*/ 230301 h 316087"/>
              <a:gd name="connsiteX17" fmla="*/ 164346 w 289101"/>
              <a:gd name="connsiteY17" fmla="*/ 258876 h 316087"/>
              <a:gd name="connsiteX18" fmla="*/ 135771 w 289101"/>
              <a:gd name="connsiteY18" fmla="*/ 268401 h 316087"/>
              <a:gd name="connsiteX19" fmla="*/ 30996 w 289101"/>
              <a:gd name="connsiteY19" fmla="*/ 316026 h 3160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89101" h="316087">
                <a:moveTo>
                  <a:pt x="30996" y="316026"/>
                </a:moveTo>
                <a:cubicBezTo>
                  <a:pt x="18296" y="314439"/>
                  <a:pt x="46792" y="275915"/>
                  <a:pt x="59571" y="258876"/>
                </a:cubicBezTo>
                <a:cubicBezTo>
                  <a:pt x="111272" y="189942"/>
                  <a:pt x="71570" y="289553"/>
                  <a:pt x="97671" y="211251"/>
                </a:cubicBezTo>
                <a:cubicBezTo>
                  <a:pt x="94496" y="201726"/>
                  <a:pt x="95246" y="189776"/>
                  <a:pt x="88146" y="182676"/>
                </a:cubicBezTo>
                <a:cubicBezTo>
                  <a:pt x="81046" y="175576"/>
                  <a:pt x="65843" y="180991"/>
                  <a:pt x="59571" y="173151"/>
                </a:cubicBezTo>
                <a:cubicBezTo>
                  <a:pt x="-10723" y="85283"/>
                  <a:pt x="111651" y="176121"/>
                  <a:pt x="21471" y="116001"/>
                </a:cubicBezTo>
                <a:cubicBezTo>
                  <a:pt x="5917" y="92670"/>
                  <a:pt x="-12657" y="80080"/>
                  <a:pt x="11946" y="49326"/>
                </a:cubicBezTo>
                <a:cubicBezTo>
                  <a:pt x="18218" y="41486"/>
                  <a:pt x="30996" y="42976"/>
                  <a:pt x="40521" y="39801"/>
                </a:cubicBezTo>
                <a:cubicBezTo>
                  <a:pt x="46871" y="27101"/>
                  <a:pt x="47395" y="9006"/>
                  <a:pt x="59571" y="1701"/>
                </a:cubicBezTo>
                <a:cubicBezTo>
                  <a:pt x="68180" y="-3465"/>
                  <a:pt x="81046" y="4126"/>
                  <a:pt x="88146" y="11226"/>
                </a:cubicBezTo>
                <a:cubicBezTo>
                  <a:pt x="105033" y="28113"/>
                  <a:pt x="89120" y="66401"/>
                  <a:pt x="116721" y="77901"/>
                </a:cubicBezTo>
                <a:cubicBezTo>
                  <a:pt x="146175" y="90173"/>
                  <a:pt x="180343" y="83209"/>
                  <a:pt x="211971" y="87426"/>
                </a:cubicBezTo>
                <a:cubicBezTo>
                  <a:pt x="228018" y="89566"/>
                  <a:pt x="243721" y="93776"/>
                  <a:pt x="259596" y="96951"/>
                </a:cubicBezTo>
                <a:cubicBezTo>
                  <a:pt x="269121" y="106476"/>
                  <a:pt x="284904" y="112458"/>
                  <a:pt x="288171" y="125526"/>
                </a:cubicBezTo>
                <a:cubicBezTo>
                  <a:pt x="292098" y="141232"/>
                  <a:pt x="282573" y="157445"/>
                  <a:pt x="278646" y="173151"/>
                </a:cubicBezTo>
                <a:cubicBezTo>
                  <a:pt x="276211" y="182891"/>
                  <a:pt x="275393" y="193886"/>
                  <a:pt x="269121" y="201726"/>
                </a:cubicBezTo>
                <a:cubicBezTo>
                  <a:pt x="250434" y="225085"/>
                  <a:pt x="218737" y="225138"/>
                  <a:pt x="192921" y="230301"/>
                </a:cubicBezTo>
                <a:cubicBezTo>
                  <a:pt x="183396" y="239826"/>
                  <a:pt x="175554" y="251404"/>
                  <a:pt x="164346" y="258876"/>
                </a:cubicBezTo>
                <a:cubicBezTo>
                  <a:pt x="155992" y="264445"/>
                  <a:pt x="145457" y="265759"/>
                  <a:pt x="135771" y="268401"/>
                </a:cubicBezTo>
                <a:cubicBezTo>
                  <a:pt x="63097" y="288221"/>
                  <a:pt x="43696" y="317613"/>
                  <a:pt x="30996" y="316026"/>
                </a:cubicBez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700"/>
          </a:p>
          <a:p>
            <a:pPr algn="l"/>
            <a:r>
              <a:rPr lang="es-ES" sz="700"/>
              <a:t>    DN</a:t>
            </a:r>
          </a:p>
        </xdr:txBody>
      </xdr:sp>
      <xdr:grpSp>
        <xdr:nvGrpSpPr>
          <xdr:cNvPr id="6" name="Grupo 5"/>
          <xdr:cNvGrpSpPr/>
        </xdr:nvGrpSpPr>
        <xdr:grpSpPr>
          <a:xfrm>
            <a:off x="0" y="-11103"/>
            <a:ext cx="8678310" cy="5940248"/>
            <a:chOff x="0" y="-11103"/>
            <a:chExt cx="8678310" cy="5940248"/>
          </a:xfrm>
        </xdr:grpSpPr>
        <xdr:grpSp>
          <xdr:nvGrpSpPr>
            <xdr:cNvPr id="7" name="Grupo 6"/>
            <xdr:cNvGrpSpPr/>
          </xdr:nvGrpSpPr>
          <xdr:grpSpPr>
            <a:xfrm>
              <a:off x="0" y="-11103"/>
              <a:ext cx="8678310" cy="5840403"/>
              <a:chOff x="0" y="-11103"/>
              <a:chExt cx="8678310" cy="5840403"/>
            </a:xfrm>
          </xdr:grpSpPr>
          <xdr:sp macro="" textlink="">
            <xdr:nvSpPr>
              <xdr:cNvPr id="11" name="Forma libre 10"/>
              <xdr:cNvSpPr/>
            </xdr:nvSpPr>
            <xdr:spPr>
              <a:xfrm>
                <a:off x="3838500" y="2838450"/>
                <a:ext cx="896394" cy="1457325"/>
              </a:xfrm>
              <a:custGeom>
                <a:avLst/>
                <a:gdLst>
                  <a:gd name="connsiteX0" fmla="*/ 866775 w 896394"/>
                  <a:gd name="connsiteY0" fmla="*/ 923925 h 1457325"/>
                  <a:gd name="connsiteX1" fmla="*/ 876300 w 896394"/>
                  <a:gd name="connsiteY1" fmla="*/ 876300 h 1457325"/>
                  <a:gd name="connsiteX2" fmla="*/ 895350 w 896394"/>
                  <a:gd name="connsiteY2" fmla="*/ 847725 h 1457325"/>
                  <a:gd name="connsiteX3" fmla="*/ 885825 w 896394"/>
                  <a:gd name="connsiteY3" fmla="*/ 809625 h 1457325"/>
                  <a:gd name="connsiteX4" fmla="*/ 781050 w 896394"/>
                  <a:gd name="connsiteY4" fmla="*/ 800100 h 1457325"/>
                  <a:gd name="connsiteX5" fmla="*/ 752475 w 896394"/>
                  <a:gd name="connsiteY5" fmla="*/ 742950 h 1457325"/>
                  <a:gd name="connsiteX6" fmla="*/ 723900 w 896394"/>
                  <a:gd name="connsiteY6" fmla="*/ 723900 h 1457325"/>
                  <a:gd name="connsiteX7" fmla="*/ 638175 w 896394"/>
                  <a:gd name="connsiteY7" fmla="*/ 714375 h 1457325"/>
                  <a:gd name="connsiteX8" fmla="*/ 628650 w 896394"/>
                  <a:gd name="connsiteY8" fmla="*/ 676275 h 1457325"/>
                  <a:gd name="connsiteX9" fmla="*/ 590550 w 896394"/>
                  <a:gd name="connsiteY9" fmla="*/ 666750 h 1457325"/>
                  <a:gd name="connsiteX10" fmla="*/ 571500 w 896394"/>
                  <a:gd name="connsiteY10" fmla="*/ 638175 h 1457325"/>
                  <a:gd name="connsiteX11" fmla="*/ 561975 w 896394"/>
                  <a:gd name="connsiteY11" fmla="*/ 523875 h 1457325"/>
                  <a:gd name="connsiteX12" fmla="*/ 523875 w 896394"/>
                  <a:gd name="connsiteY12" fmla="*/ 514350 h 1457325"/>
                  <a:gd name="connsiteX13" fmla="*/ 514350 w 896394"/>
                  <a:gd name="connsiteY13" fmla="*/ 476250 h 1457325"/>
                  <a:gd name="connsiteX14" fmla="*/ 523875 w 896394"/>
                  <a:gd name="connsiteY14" fmla="*/ 419100 h 1457325"/>
                  <a:gd name="connsiteX15" fmla="*/ 571500 w 896394"/>
                  <a:gd name="connsiteY15" fmla="*/ 409575 h 1457325"/>
                  <a:gd name="connsiteX16" fmla="*/ 561975 w 896394"/>
                  <a:gd name="connsiteY16" fmla="*/ 352425 h 1457325"/>
                  <a:gd name="connsiteX17" fmla="*/ 533400 w 896394"/>
                  <a:gd name="connsiteY17" fmla="*/ 295275 h 1457325"/>
                  <a:gd name="connsiteX18" fmla="*/ 523875 w 896394"/>
                  <a:gd name="connsiteY18" fmla="*/ 266700 h 1457325"/>
                  <a:gd name="connsiteX19" fmla="*/ 495300 w 896394"/>
                  <a:gd name="connsiteY19" fmla="*/ 209550 h 1457325"/>
                  <a:gd name="connsiteX20" fmla="*/ 466725 w 896394"/>
                  <a:gd name="connsiteY20" fmla="*/ 133350 h 1457325"/>
                  <a:gd name="connsiteX21" fmla="*/ 352425 w 896394"/>
                  <a:gd name="connsiteY21" fmla="*/ 76200 h 1457325"/>
                  <a:gd name="connsiteX22" fmla="*/ 342900 w 896394"/>
                  <a:gd name="connsiteY22" fmla="*/ 47625 h 1457325"/>
                  <a:gd name="connsiteX23" fmla="*/ 333375 w 896394"/>
                  <a:gd name="connsiteY23" fmla="*/ 9525 h 1457325"/>
                  <a:gd name="connsiteX24" fmla="*/ 304800 w 896394"/>
                  <a:gd name="connsiteY24" fmla="*/ 0 h 1457325"/>
                  <a:gd name="connsiteX25" fmla="*/ 276225 w 896394"/>
                  <a:gd name="connsiteY25" fmla="*/ 19050 h 1457325"/>
                  <a:gd name="connsiteX26" fmla="*/ 238125 w 896394"/>
                  <a:gd name="connsiteY26" fmla="*/ 85725 h 1457325"/>
                  <a:gd name="connsiteX27" fmla="*/ 219075 w 896394"/>
                  <a:gd name="connsiteY27" fmla="*/ 114300 h 1457325"/>
                  <a:gd name="connsiteX28" fmla="*/ 209550 w 896394"/>
                  <a:gd name="connsiteY28" fmla="*/ 171450 h 1457325"/>
                  <a:gd name="connsiteX29" fmla="*/ 161925 w 896394"/>
                  <a:gd name="connsiteY29" fmla="*/ 247650 h 1457325"/>
                  <a:gd name="connsiteX30" fmla="*/ 66675 w 896394"/>
                  <a:gd name="connsiteY30" fmla="*/ 257175 h 1457325"/>
                  <a:gd name="connsiteX31" fmla="*/ 57150 w 896394"/>
                  <a:gd name="connsiteY31" fmla="*/ 314325 h 1457325"/>
                  <a:gd name="connsiteX32" fmla="*/ 19050 w 896394"/>
                  <a:gd name="connsiteY32" fmla="*/ 438150 h 1457325"/>
                  <a:gd name="connsiteX33" fmla="*/ 38100 w 896394"/>
                  <a:gd name="connsiteY33" fmla="*/ 552450 h 1457325"/>
                  <a:gd name="connsiteX34" fmla="*/ 19050 w 896394"/>
                  <a:gd name="connsiteY34" fmla="*/ 581025 h 1457325"/>
                  <a:gd name="connsiteX35" fmla="*/ 0 w 896394"/>
                  <a:gd name="connsiteY35" fmla="*/ 638175 h 1457325"/>
                  <a:gd name="connsiteX36" fmla="*/ 28575 w 896394"/>
                  <a:gd name="connsiteY36" fmla="*/ 723900 h 1457325"/>
                  <a:gd name="connsiteX37" fmla="*/ 38100 w 896394"/>
                  <a:gd name="connsiteY37" fmla="*/ 752475 h 1457325"/>
                  <a:gd name="connsiteX38" fmla="*/ 66675 w 896394"/>
                  <a:gd name="connsiteY38" fmla="*/ 762000 h 1457325"/>
                  <a:gd name="connsiteX39" fmla="*/ 123825 w 896394"/>
                  <a:gd name="connsiteY39" fmla="*/ 809625 h 1457325"/>
                  <a:gd name="connsiteX40" fmla="*/ 180975 w 896394"/>
                  <a:gd name="connsiteY40" fmla="*/ 828675 h 1457325"/>
                  <a:gd name="connsiteX41" fmla="*/ 209550 w 896394"/>
                  <a:gd name="connsiteY41" fmla="*/ 857250 h 1457325"/>
                  <a:gd name="connsiteX42" fmla="*/ 228600 w 896394"/>
                  <a:gd name="connsiteY42" fmla="*/ 885825 h 1457325"/>
                  <a:gd name="connsiteX43" fmla="*/ 257175 w 896394"/>
                  <a:gd name="connsiteY43" fmla="*/ 904875 h 1457325"/>
                  <a:gd name="connsiteX44" fmla="*/ 314325 w 896394"/>
                  <a:gd name="connsiteY44" fmla="*/ 962025 h 1457325"/>
                  <a:gd name="connsiteX45" fmla="*/ 323850 w 896394"/>
                  <a:gd name="connsiteY45" fmla="*/ 1000125 h 1457325"/>
                  <a:gd name="connsiteX46" fmla="*/ 342900 w 896394"/>
                  <a:gd name="connsiteY46" fmla="*/ 1028700 h 1457325"/>
                  <a:gd name="connsiteX47" fmla="*/ 314325 w 896394"/>
                  <a:gd name="connsiteY47" fmla="*/ 1057275 h 1457325"/>
                  <a:gd name="connsiteX48" fmla="*/ 304800 w 896394"/>
                  <a:gd name="connsiteY48" fmla="*/ 1095375 h 1457325"/>
                  <a:gd name="connsiteX49" fmla="*/ 295275 w 896394"/>
                  <a:gd name="connsiteY49" fmla="*/ 1123950 h 1457325"/>
                  <a:gd name="connsiteX50" fmla="*/ 314325 w 896394"/>
                  <a:gd name="connsiteY50" fmla="*/ 1152525 h 1457325"/>
                  <a:gd name="connsiteX51" fmla="*/ 342900 w 896394"/>
                  <a:gd name="connsiteY51" fmla="*/ 1219200 h 1457325"/>
                  <a:gd name="connsiteX52" fmla="*/ 371475 w 896394"/>
                  <a:gd name="connsiteY52" fmla="*/ 1247775 h 1457325"/>
                  <a:gd name="connsiteX53" fmla="*/ 419100 w 896394"/>
                  <a:gd name="connsiteY53" fmla="*/ 1295400 h 1457325"/>
                  <a:gd name="connsiteX54" fmla="*/ 438150 w 896394"/>
                  <a:gd name="connsiteY54" fmla="*/ 1323975 h 1457325"/>
                  <a:gd name="connsiteX55" fmla="*/ 466725 w 896394"/>
                  <a:gd name="connsiteY55" fmla="*/ 1352550 h 1457325"/>
                  <a:gd name="connsiteX56" fmla="*/ 476250 w 896394"/>
                  <a:gd name="connsiteY56" fmla="*/ 1381125 h 1457325"/>
                  <a:gd name="connsiteX57" fmla="*/ 495300 w 896394"/>
                  <a:gd name="connsiteY57" fmla="*/ 1409700 h 1457325"/>
                  <a:gd name="connsiteX58" fmla="*/ 514350 w 896394"/>
                  <a:gd name="connsiteY58" fmla="*/ 1447800 h 1457325"/>
                  <a:gd name="connsiteX59" fmla="*/ 542925 w 896394"/>
                  <a:gd name="connsiteY59" fmla="*/ 1457325 h 1457325"/>
                  <a:gd name="connsiteX60" fmla="*/ 552450 w 896394"/>
                  <a:gd name="connsiteY60" fmla="*/ 1428750 h 1457325"/>
                  <a:gd name="connsiteX61" fmla="*/ 561975 w 896394"/>
                  <a:gd name="connsiteY61" fmla="*/ 1343025 h 1457325"/>
                  <a:gd name="connsiteX62" fmla="*/ 609600 w 896394"/>
                  <a:gd name="connsiteY62" fmla="*/ 1285875 h 1457325"/>
                  <a:gd name="connsiteX63" fmla="*/ 628650 w 896394"/>
                  <a:gd name="connsiteY63" fmla="*/ 1247775 h 1457325"/>
                  <a:gd name="connsiteX64" fmla="*/ 647700 w 896394"/>
                  <a:gd name="connsiteY64" fmla="*/ 1219200 h 1457325"/>
                  <a:gd name="connsiteX65" fmla="*/ 657225 w 896394"/>
                  <a:gd name="connsiteY65" fmla="*/ 1190625 h 1457325"/>
                  <a:gd name="connsiteX66" fmla="*/ 685800 w 896394"/>
                  <a:gd name="connsiteY66" fmla="*/ 1162050 h 1457325"/>
                  <a:gd name="connsiteX67" fmla="*/ 742950 w 896394"/>
                  <a:gd name="connsiteY67" fmla="*/ 1123950 h 1457325"/>
                  <a:gd name="connsiteX68" fmla="*/ 781050 w 896394"/>
                  <a:gd name="connsiteY68" fmla="*/ 1038225 h 1457325"/>
                  <a:gd name="connsiteX69" fmla="*/ 790575 w 896394"/>
                  <a:gd name="connsiteY69" fmla="*/ 990600 h 1457325"/>
                  <a:gd name="connsiteX70" fmla="*/ 819150 w 896394"/>
                  <a:gd name="connsiteY70" fmla="*/ 971550 h 1457325"/>
                  <a:gd name="connsiteX71" fmla="*/ 838200 w 896394"/>
                  <a:gd name="connsiteY71" fmla="*/ 942975 h 1457325"/>
                  <a:gd name="connsiteX72" fmla="*/ 866775 w 896394"/>
                  <a:gd name="connsiteY72" fmla="*/ 923925 h 14573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Lst>
                <a:rect l="l" t="t" r="r" b="b"/>
                <a:pathLst>
                  <a:path w="896394" h="1457325">
                    <a:moveTo>
                      <a:pt x="866775" y="923925"/>
                    </a:moveTo>
                    <a:cubicBezTo>
                      <a:pt x="873125" y="912813"/>
                      <a:pt x="870616" y="891459"/>
                      <a:pt x="876300" y="876300"/>
                    </a:cubicBezTo>
                    <a:cubicBezTo>
                      <a:pt x="880320" y="865581"/>
                      <a:pt x="893731" y="859058"/>
                      <a:pt x="895350" y="847725"/>
                    </a:cubicBezTo>
                    <a:cubicBezTo>
                      <a:pt x="897201" y="834766"/>
                      <a:pt x="897909" y="814660"/>
                      <a:pt x="885825" y="809625"/>
                    </a:cubicBezTo>
                    <a:cubicBezTo>
                      <a:pt x="853454" y="796137"/>
                      <a:pt x="815975" y="803275"/>
                      <a:pt x="781050" y="800100"/>
                    </a:cubicBezTo>
                    <a:cubicBezTo>
                      <a:pt x="773303" y="776859"/>
                      <a:pt x="770939" y="761414"/>
                      <a:pt x="752475" y="742950"/>
                    </a:cubicBezTo>
                    <a:cubicBezTo>
                      <a:pt x="744380" y="734855"/>
                      <a:pt x="735006" y="726676"/>
                      <a:pt x="723900" y="723900"/>
                    </a:cubicBezTo>
                    <a:cubicBezTo>
                      <a:pt x="696008" y="716927"/>
                      <a:pt x="666750" y="717550"/>
                      <a:pt x="638175" y="714375"/>
                    </a:cubicBezTo>
                    <a:cubicBezTo>
                      <a:pt x="635000" y="701675"/>
                      <a:pt x="637907" y="685532"/>
                      <a:pt x="628650" y="676275"/>
                    </a:cubicBezTo>
                    <a:cubicBezTo>
                      <a:pt x="619393" y="667018"/>
                      <a:pt x="601442" y="674012"/>
                      <a:pt x="590550" y="666750"/>
                    </a:cubicBezTo>
                    <a:cubicBezTo>
                      <a:pt x="581025" y="660400"/>
                      <a:pt x="577850" y="647700"/>
                      <a:pt x="571500" y="638175"/>
                    </a:cubicBezTo>
                    <a:cubicBezTo>
                      <a:pt x="568325" y="600075"/>
                      <a:pt x="575700" y="559559"/>
                      <a:pt x="561975" y="523875"/>
                    </a:cubicBezTo>
                    <a:cubicBezTo>
                      <a:pt x="557276" y="511657"/>
                      <a:pt x="533132" y="523607"/>
                      <a:pt x="523875" y="514350"/>
                    </a:cubicBezTo>
                    <a:cubicBezTo>
                      <a:pt x="514618" y="505093"/>
                      <a:pt x="517525" y="488950"/>
                      <a:pt x="514350" y="476250"/>
                    </a:cubicBezTo>
                    <a:cubicBezTo>
                      <a:pt x="517525" y="457200"/>
                      <a:pt x="511306" y="433763"/>
                      <a:pt x="523875" y="419100"/>
                    </a:cubicBezTo>
                    <a:cubicBezTo>
                      <a:pt x="534411" y="406808"/>
                      <a:pt x="563468" y="423631"/>
                      <a:pt x="571500" y="409575"/>
                    </a:cubicBezTo>
                    <a:cubicBezTo>
                      <a:pt x="581082" y="392807"/>
                      <a:pt x="566165" y="371278"/>
                      <a:pt x="561975" y="352425"/>
                    </a:cubicBezTo>
                    <a:cubicBezTo>
                      <a:pt x="552398" y="309331"/>
                      <a:pt x="553951" y="336376"/>
                      <a:pt x="533400" y="295275"/>
                    </a:cubicBezTo>
                    <a:cubicBezTo>
                      <a:pt x="528910" y="286295"/>
                      <a:pt x="528365" y="275680"/>
                      <a:pt x="523875" y="266700"/>
                    </a:cubicBezTo>
                    <a:cubicBezTo>
                      <a:pt x="500595" y="220139"/>
                      <a:pt x="507271" y="257433"/>
                      <a:pt x="495300" y="209550"/>
                    </a:cubicBezTo>
                    <a:cubicBezTo>
                      <a:pt x="487692" y="179117"/>
                      <a:pt x="491812" y="155302"/>
                      <a:pt x="466725" y="133350"/>
                    </a:cubicBezTo>
                    <a:cubicBezTo>
                      <a:pt x="421274" y="93580"/>
                      <a:pt x="406381" y="94185"/>
                      <a:pt x="352425" y="76200"/>
                    </a:cubicBezTo>
                    <a:cubicBezTo>
                      <a:pt x="349250" y="66675"/>
                      <a:pt x="345658" y="57279"/>
                      <a:pt x="342900" y="47625"/>
                    </a:cubicBezTo>
                    <a:cubicBezTo>
                      <a:pt x="339304" y="35038"/>
                      <a:pt x="341553" y="19747"/>
                      <a:pt x="333375" y="9525"/>
                    </a:cubicBezTo>
                    <a:cubicBezTo>
                      <a:pt x="327103" y="1685"/>
                      <a:pt x="314325" y="3175"/>
                      <a:pt x="304800" y="0"/>
                    </a:cubicBezTo>
                    <a:cubicBezTo>
                      <a:pt x="295275" y="6350"/>
                      <a:pt x="284320" y="10955"/>
                      <a:pt x="276225" y="19050"/>
                    </a:cubicBezTo>
                    <a:cubicBezTo>
                      <a:pt x="260754" y="34521"/>
                      <a:pt x="248086" y="68294"/>
                      <a:pt x="238125" y="85725"/>
                    </a:cubicBezTo>
                    <a:cubicBezTo>
                      <a:pt x="232445" y="95664"/>
                      <a:pt x="225425" y="104775"/>
                      <a:pt x="219075" y="114300"/>
                    </a:cubicBezTo>
                    <a:cubicBezTo>
                      <a:pt x="215900" y="133350"/>
                      <a:pt x="214234" y="152714"/>
                      <a:pt x="209550" y="171450"/>
                    </a:cubicBezTo>
                    <a:cubicBezTo>
                      <a:pt x="202080" y="201328"/>
                      <a:pt x="198542" y="239200"/>
                      <a:pt x="161925" y="247650"/>
                    </a:cubicBezTo>
                    <a:cubicBezTo>
                      <a:pt x="130834" y="254825"/>
                      <a:pt x="98425" y="254000"/>
                      <a:pt x="66675" y="257175"/>
                    </a:cubicBezTo>
                    <a:cubicBezTo>
                      <a:pt x="63500" y="276225"/>
                      <a:pt x="59283" y="295130"/>
                      <a:pt x="57150" y="314325"/>
                    </a:cubicBezTo>
                    <a:cubicBezTo>
                      <a:pt x="43205" y="439826"/>
                      <a:pt x="84837" y="416221"/>
                      <a:pt x="19050" y="438150"/>
                    </a:cubicBezTo>
                    <a:cubicBezTo>
                      <a:pt x="39370" y="499110"/>
                      <a:pt x="60960" y="506730"/>
                      <a:pt x="38100" y="552450"/>
                    </a:cubicBezTo>
                    <a:cubicBezTo>
                      <a:pt x="32980" y="562689"/>
                      <a:pt x="23699" y="570564"/>
                      <a:pt x="19050" y="581025"/>
                    </a:cubicBezTo>
                    <a:cubicBezTo>
                      <a:pt x="10895" y="599375"/>
                      <a:pt x="0" y="638175"/>
                      <a:pt x="0" y="638175"/>
                    </a:cubicBezTo>
                    <a:lnTo>
                      <a:pt x="28575" y="723900"/>
                    </a:lnTo>
                    <a:cubicBezTo>
                      <a:pt x="31750" y="733425"/>
                      <a:pt x="28575" y="749300"/>
                      <a:pt x="38100" y="752475"/>
                    </a:cubicBezTo>
                    <a:lnTo>
                      <a:pt x="66675" y="762000"/>
                    </a:lnTo>
                    <a:cubicBezTo>
                      <a:pt x="84620" y="779945"/>
                      <a:pt x="99955" y="799016"/>
                      <a:pt x="123825" y="809625"/>
                    </a:cubicBezTo>
                    <a:cubicBezTo>
                      <a:pt x="142175" y="817780"/>
                      <a:pt x="180975" y="828675"/>
                      <a:pt x="180975" y="828675"/>
                    </a:cubicBezTo>
                    <a:cubicBezTo>
                      <a:pt x="190500" y="838200"/>
                      <a:pt x="200926" y="846902"/>
                      <a:pt x="209550" y="857250"/>
                    </a:cubicBezTo>
                    <a:cubicBezTo>
                      <a:pt x="216879" y="866044"/>
                      <a:pt x="220505" y="877730"/>
                      <a:pt x="228600" y="885825"/>
                    </a:cubicBezTo>
                    <a:cubicBezTo>
                      <a:pt x="236695" y="893920"/>
                      <a:pt x="248619" y="897270"/>
                      <a:pt x="257175" y="904875"/>
                    </a:cubicBezTo>
                    <a:cubicBezTo>
                      <a:pt x="277311" y="922773"/>
                      <a:pt x="314325" y="962025"/>
                      <a:pt x="314325" y="962025"/>
                    </a:cubicBezTo>
                    <a:cubicBezTo>
                      <a:pt x="317500" y="974725"/>
                      <a:pt x="318693" y="988093"/>
                      <a:pt x="323850" y="1000125"/>
                    </a:cubicBezTo>
                    <a:cubicBezTo>
                      <a:pt x="328359" y="1010647"/>
                      <a:pt x="344782" y="1017408"/>
                      <a:pt x="342900" y="1028700"/>
                    </a:cubicBezTo>
                    <a:cubicBezTo>
                      <a:pt x="340685" y="1041987"/>
                      <a:pt x="323850" y="1047750"/>
                      <a:pt x="314325" y="1057275"/>
                    </a:cubicBezTo>
                    <a:cubicBezTo>
                      <a:pt x="311150" y="1069975"/>
                      <a:pt x="308396" y="1082788"/>
                      <a:pt x="304800" y="1095375"/>
                    </a:cubicBezTo>
                    <a:cubicBezTo>
                      <a:pt x="302042" y="1105029"/>
                      <a:pt x="293624" y="1114046"/>
                      <a:pt x="295275" y="1123950"/>
                    </a:cubicBezTo>
                    <a:cubicBezTo>
                      <a:pt x="297157" y="1135242"/>
                      <a:pt x="309205" y="1142286"/>
                      <a:pt x="314325" y="1152525"/>
                    </a:cubicBezTo>
                    <a:cubicBezTo>
                      <a:pt x="335053" y="1193982"/>
                      <a:pt x="309866" y="1172952"/>
                      <a:pt x="342900" y="1219200"/>
                    </a:cubicBezTo>
                    <a:cubicBezTo>
                      <a:pt x="350730" y="1230161"/>
                      <a:pt x="362851" y="1237427"/>
                      <a:pt x="371475" y="1247775"/>
                    </a:cubicBezTo>
                    <a:cubicBezTo>
                      <a:pt x="411162" y="1295400"/>
                      <a:pt x="366713" y="1260475"/>
                      <a:pt x="419100" y="1295400"/>
                    </a:cubicBezTo>
                    <a:cubicBezTo>
                      <a:pt x="425450" y="1304925"/>
                      <a:pt x="430821" y="1315181"/>
                      <a:pt x="438150" y="1323975"/>
                    </a:cubicBezTo>
                    <a:cubicBezTo>
                      <a:pt x="446774" y="1334323"/>
                      <a:pt x="459253" y="1341342"/>
                      <a:pt x="466725" y="1352550"/>
                    </a:cubicBezTo>
                    <a:cubicBezTo>
                      <a:pt x="472294" y="1360904"/>
                      <a:pt x="471760" y="1372145"/>
                      <a:pt x="476250" y="1381125"/>
                    </a:cubicBezTo>
                    <a:cubicBezTo>
                      <a:pt x="481370" y="1391364"/>
                      <a:pt x="489620" y="1399761"/>
                      <a:pt x="495300" y="1409700"/>
                    </a:cubicBezTo>
                    <a:cubicBezTo>
                      <a:pt x="502345" y="1422028"/>
                      <a:pt x="504310" y="1437760"/>
                      <a:pt x="514350" y="1447800"/>
                    </a:cubicBezTo>
                    <a:cubicBezTo>
                      <a:pt x="521450" y="1454900"/>
                      <a:pt x="533400" y="1454150"/>
                      <a:pt x="542925" y="1457325"/>
                    </a:cubicBezTo>
                    <a:cubicBezTo>
                      <a:pt x="546100" y="1447800"/>
                      <a:pt x="550799" y="1438654"/>
                      <a:pt x="552450" y="1428750"/>
                    </a:cubicBezTo>
                    <a:cubicBezTo>
                      <a:pt x="557177" y="1400390"/>
                      <a:pt x="555002" y="1370917"/>
                      <a:pt x="561975" y="1343025"/>
                    </a:cubicBezTo>
                    <a:cubicBezTo>
                      <a:pt x="567789" y="1319767"/>
                      <a:pt x="597297" y="1303099"/>
                      <a:pt x="609600" y="1285875"/>
                    </a:cubicBezTo>
                    <a:cubicBezTo>
                      <a:pt x="617853" y="1274321"/>
                      <a:pt x="621605" y="1260103"/>
                      <a:pt x="628650" y="1247775"/>
                    </a:cubicBezTo>
                    <a:cubicBezTo>
                      <a:pt x="634330" y="1237836"/>
                      <a:pt x="642580" y="1229439"/>
                      <a:pt x="647700" y="1219200"/>
                    </a:cubicBezTo>
                    <a:cubicBezTo>
                      <a:pt x="652190" y="1210220"/>
                      <a:pt x="651656" y="1198979"/>
                      <a:pt x="657225" y="1190625"/>
                    </a:cubicBezTo>
                    <a:cubicBezTo>
                      <a:pt x="664697" y="1179417"/>
                      <a:pt x="675167" y="1170320"/>
                      <a:pt x="685800" y="1162050"/>
                    </a:cubicBezTo>
                    <a:cubicBezTo>
                      <a:pt x="703872" y="1147994"/>
                      <a:pt x="742950" y="1123950"/>
                      <a:pt x="742950" y="1123950"/>
                    </a:cubicBezTo>
                    <a:cubicBezTo>
                      <a:pt x="765754" y="1089745"/>
                      <a:pt x="771334" y="1086804"/>
                      <a:pt x="781050" y="1038225"/>
                    </a:cubicBezTo>
                    <a:cubicBezTo>
                      <a:pt x="784225" y="1022350"/>
                      <a:pt x="782543" y="1004656"/>
                      <a:pt x="790575" y="990600"/>
                    </a:cubicBezTo>
                    <a:cubicBezTo>
                      <a:pt x="796255" y="980661"/>
                      <a:pt x="809625" y="977900"/>
                      <a:pt x="819150" y="971550"/>
                    </a:cubicBezTo>
                    <a:cubicBezTo>
                      <a:pt x="825500" y="962025"/>
                      <a:pt x="831546" y="952290"/>
                      <a:pt x="838200" y="942975"/>
                    </a:cubicBezTo>
                    <a:cubicBezTo>
                      <a:pt x="868680" y="900303"/>
                      <a:pt x="860425" y="935037"/>
                      <a:pt x="866775" y="923925"/>
                    </a:cubicBezTo>
                    <a:close/>
                  </a:path>
                </a:pathLst>
              </a:custGeom>
              <a:solidFill>
                <a:schemeClr val="accent3">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ES" sz="1100" b="1"/>
              </a:p>
              <a:p>
                <a:pPr algn="ctr"/>
                <a:endParaRPr lang="es-ES" sz="1100" b="1"/>
              </a:p>
              <a:p>
                <a:pPr algn="l"/>
                <a:r>
                  <a:rPr lang="es-ES" sz="1100" b="1"/>
                  <a:t>       San </a:t>
                </a:r>
              </a:p>
              <a:p>
                <a:pPr algn="l"/>
                <a:r>
                  <a:rPr lang="es-ES" sz="1100" b="1"/>
                  <a:t>   Cristobal    </a:t>
                </a:r>
              </a:p>
              <a:p>
                <a:pPr algn="l"/>
                <a:r>
                  <a:rPr lang="es-ES" sz="1100" b="1"/>
                  <a:t>     123,966</a:t>
                </a:r>
              </a:p>
              <a:p>
                <a:pPr algn="l"/>
                <a:r>
                  <a:rPr lang="es-ES" sz="1100" b="1"/>
                  <a:t>         4.3%</a:t>
                </a:r>
              </a:p>
            </xdr:txBody>
          </xdr:sp>
          <xdr:grpSp>
            <xdr:nvGrpSpPr>
              <xdr:cNvPr id="12" name="Grupo 11"/>
              <xdr:cNvGrpSpPr/>
            </xdr:nvGrpSpPr>
            <xdr:grpSpPr>
              <a:xfrm>
                <a:off x="0" y="-11103"/>
                <a:ext cx="8678310" cy="5840403"/>
                <a:chOff x="0" y="-11103"/>
                <a:chExt cx="8678310" cy="5840403"/>
              </a:xfrm>
            </xdr:grpSpPr>
            <xdr:grpSp>
              <xdr:nvGrpSpPr>
                <xdr:cNvPr id="13" name="Grupo 12"/>
                <xdr:cNvGrpSpPr/>
              </xdr:nvGrpSpPr>
              <xdr:grpSpPr>
                <a:xfrm>
                  <a:off x="0" y="-11103"/>
                  <a:ext cx="6791324" cy="5840403"/>
                  <a:chOff x="0" y="-11103"/>
                  <a:chExt cx="6791324" cy="5840403"/>
                </a:xfrm>
              </xdr:grpSpPr>
              <xdr:grpSp>
                <xdr:nvGrpSpPr>
                  <xdr:cNvPr id="22" name="Grupo 21"/>
                  <xdr:cNvGrpSpPr/>
                </xdr:nvGrpSpPr>
                <xdr:grpSpPr>
                  <a:xfrm>
                    <a:off x="0" y="-11103"/>
                    <a:ext cx="5553075" cy="5840403"/>
                    <a:chOff x="0" y="-11103"/>
                    <a:chExt cx="5553075" cy="5840403"/>
                  </a:xfrm>
                </xdr:grpSpPr>
                <xdr:grpSp>
                  <xdr:nvGrpSpPr>
                    <xdr:cNvPr id="24" name="Grupo 23"/>
                    <xdr:cNvGrpSpPr/>
                  </xdr:nvGrpSpPr>
                  <xdr:grpSpPr>
                    <a:xfrm>
                      <a:off x="0" y="-11103"/>
                      <a:ext cx="5553075" cy="5840403"/>
                      <a:chOff x="0" y="-11103"/>
                      <a:chExt cx="5553075" cy="5840403"/>
                    </a:xfrm>
                  </xdr:grpSpPr>
                  <xdr:grpSp>
                    <xdr:nvGrpSpPr>
                      <xdr:cNvPr id="26" name="Grupo 25"/>
                      <xdr:cNvGrpSpPr/>
                    </xdr:nvGrpSpPr>
                    <xdr:grpSpPr>
                      <a:xfrm>
                        <a:off x="0" y="-11103"/>
                        <a:ext cx="5553075" cy="5840403"/>
                        <a:chOff x="0" y="-11103"/>
                        <a:chExt cx="5553075" cy="5840403"/>
                      </a:xfrm>
                    </xdr:grpSpPr>
                    <xdr:grpSp>
                      <xdr:nvGrpSpPr>
                        <xdr:cNvPr id="28" name="Grupo 27"/>
                        <xdr:cNvGrpSpPr/>
                      </xdr:nvGrpSpPr>
                      <xdr:grpSpPr>
                        <a:xfrm>
                          <a:off x="0" y="-11103"/>
                          <a:ext cx="4600575" cy="5840403"/>
                          <a:chOff x="0" y="-10940"/>
                          <a:chExt cx="4562475" cy="5754515"/>
                        </a:xfrm>
                      </xdr:grpSpPr>
                      <xdr:grpSp>
                        <xdr:nvGrpSpPr>
                          <xdr:cNvPr id="30" name="Grupo 29"/>
                          <xdr:cNvGrpSpPr/>
                        </xdr:nvGrpSpPr>
                        <xdr:grpSpPr>
                          <a:xfrm>
                            <a:off x="0" y="-10940"/>
                            <a:ext cx="4562475" cy="5754515"/>
                            <a:chOff x="0" y="-10940"/>
                            <a:chExt cx="4562475" cy="5754515"/>
                          </a:xfrm>
                        </xdr:grpSpPr>
                        <xdr:grpSp>
                          <xdr:nvGrpSpPr>
                            <xdr:cNvPr id="32" name="Grupo 31"/>
                            <xdr:cNvGrpSpPr/>
                          </xdr:nvGrpSpPr>
                          <xdr:grpSpPr>
                            <a:xfrm>
                              <a:off x="0" y="-10940"/>
                              <a:ext cx="4562475" cy="5754515"/>
                              <a:chOff x="0" y="2713210"/>
                              <a:chExt cx="4562475" cy="5754515"/>
                            </a:xfrm>
                          </xdr:grpSpPr>
                          <xdr:grpSp>
                            <xdr:nvGrpSpPr>
                              <xdr:cNvPr id="35" name="Grupo 34"/>
                              <xdr:cNvGrpSpPr/>
                            </xdr:nvGrpSpPr>
                            <xdr:grpSpPr>
                              <a:xfrm>
                                <a:off x="0" y="2713210"/>
                                <a:ext cx="4562475" cy="5754515"/>
                                <a:chOff x="0" y="-10940"/>
                                <a:chExt cx="4562475" cy="5754515"/>
                              </a:xfrm>
                            </xdr:grpSpPr>
                            <xdr:grpSp>
                              <xdr:nvGrpSpPr>
                                <xdr:cNvPr id="37" name="Grupo 36"/>
                                <xdr:cNvGrpSpPr/>
                              </xdr:nvGrpSpPr>
                              <xdr:grpSpPr>
                                <a:xfrm>
                                  <a:off x="0" y="-10940"/>
                                  <a:ext cx="4029074" cy="5754515"/>
                                  <a:chOff x="0" y="-10940"/>
                                  <a:chExt cx="4029074" cy="5754515"/>
                                </a:xfrm>
                              </xdr:grpSpPr>
                              <xdr:grpSp>
                                <xdr:nvGrpSpPr>
                                  <xdr:cNvPr id="39" name="Grupo 38"/>
                                  <xdr:cNvGrpSpPr/>
                                </xdr:nvGrpSpPr>
                                <xdr:grpSpPr>
                                  <a:xfrm>
                                    <a:off x="0" y="-10940"/>
                                    <a:ext cx="3829062" cy="5754515"/>
                                    <a:chOff x="57150" y="-10940"/>
                                    <a:chExt cx="3668337" cy="5754515"/>
                                  </a:xfrm>
                                </xdr:grpSpPr>
                                <xdr:grpSp>
                                  <xdr:nvGrpSpPr>
                                    <xdr:cNvPr id="41" name="Grupo 40"/>
                                    <xdr:cNvGrpSpPr/>
                                  </xdr:nvGrpSpPr>
                                  <xdr:grpSpPr>
                                    <a:xfrm>
                                      <a:off x="57150" y="-10940"/>
                                      <a:ext cx="3668337" cy="4478165"/>
                                      <a:chOff x="47625" y="-10893"/>
                                      <a:chExt cx="3800700" cy="4459069"/>
                                    </a:xfrm>
                                  </xdr:grpSpPr>
                                  <xdr:sp macro="" textlink="">
                                    <xdr:nvSpPr>
                                      <xdr:cNvPr id="45" name="Forma libre 44"/>
                                      <xdr:cNvSpPr/>
                                    </xdr:nvSpPr>
                                    <xdr:spPr>
                                      <a:xfrm>
                                        <a:off x="606989" y="66675"/>
                                        <a:ext cx="1488139" cy="982071"/>
                                      </a:xfrm>
                                      <a:custGeom>
                                        <a:avLst/>
                                        <a:gdLst>
                                          <a:gd name="connsiteX0" fmla="*/ 1488139 w 1488139"/>
                                          <a:gd name="connsiteY0" fmla="*/ 381996 h 982071"/>
                                          <a:gd name="connsiteX1" fmla="*/ 1373839 w 1488139"/>
                                          <a:gd name="connsiteY1" fmla="*/ 372471 h 982071"/>
                                          <a:gd name="connsiteX2" fmla="*/ 1345264 w 1488139"/>
                                          <a:gd name="connsiteY2" fmla="*/ 315321 h 982071"/>
                                          <a:gd name="connsiteX3" fmla="*/ 1288114 w 1488139"/>
                                          <a:gd name="connsiteY3" fmla="*/ 286746 h 982071"/>
                                          <a:gd name="connsiteX4" fmla="*/ 1259539 w 1488139"/>
                                          <a:gd name="connsiteY4" fmla="*/ 258171 h 982071"/>
                                          <a:gd name="connsiteX5" fmla="*/ 1230964 w 1488139"/>
                                          <a:gd name="connsiteY5" fmla="*/ 248646 h 982071"/>
                                          <a:gd name="connsiteX6" fmla="*/ 1183339 w 1488139"/>
                                          <a:gd name="connsiteY6" fmla="*/ 210546 h 982071"/>
                                          <a:gd name="connsiteX7" fmla="*/ 1126189 w 1488139"/>
                                          <a:gd name="connsiteY7" fmla="*/ 172446 h 982071"/>
                                          <a:gd name="connsiteX8" fmla="*/ 992839 w 1488139"/>
                                          <a:gd name="connsiteY8" fmla="*/ 153396 h 982071"/>
                                          <a:gd name="connsiteX9" fmla="*/ 973789 w 1488139"/>
                                          <a:gd name="connsiteY9" fmla="*/ 124821 h 982071"/>
                                          <a:gd name="connsiteX10" fmla="*/ 945214 w 1488139"/>
                                          <a:gd name="connsiteY10" fmla="*/ 115296 h 982071"/>
                                          <a:gd name="connsiteX11" fmla="*/ 830914 w 1488139"/>
                                          <a:gd name="connsiteY11" fmla="*/ 105771 h 982071"/>
                                          <a:gd name="connsiteX12" fmla="*/ 811864 w 1488139"/>
                                          <a:gd name="connsiteY12" fmla="*/ 67671 h 982071"/>
                                          <a:gd name="connsiteX13" fmla="*/ 688039 w 1488139"/>
                                          <a:gd name="connsiteY13" fmla="*/ 39096 h 982071"/>
                                          <a:gd name="connsiteX14" fmla="*/ 421339 w 1488139"/>
                                          <a:gd name="connsiteY14" fmla="*/ 996 h 982071"/>
                                          <a:gd name="connsiteX15" fmla="*/ 392764 w 1488139"/>
                                          <a:gd name="connsiteY15" fmla="*/ 10521 h 982071"/>
                                          <a:gd name="connsiteX16" fmla="*/ 354664 w 1488139"/>
                                          <a:gd name="connsiteY16" fmla="*/ 20046 h 982071"/>
                                          <a:gd name="connsiteX17" fmla="*/ 345139 w 1488139"/>
                                          <a:gd name="connsiteY17" fmla="*/ 67671 h 982071"/>
                                          <a:gd name="connsiteX18" fmla="*/ 307039 w 1488139"/>
                                          <a:gd name="connsiteY18" fmla="*/ 58146 h 982071"/>
                                          <a:gd name="connsiteX19" fmla="*/ 268939 w 1488139"/>
                                          <a:gd name="connsiteY19" fmla="*/ 115296 h 982071"/>
                                          <a:gd name="connsiteX20" fmla="*/ 221314 w 1488139"/>
                                          <a:gd name="connsiteY20" fmla="*/ 162921 h 982071"/>
                                          <a:gd name="connsiteX21" fmla="*/ 192739 w 1488139"/>
                                          <a:gd name="connsiteY21" fmla="*/ 201021 h 982071"/>
                                          <a:gd name="connsiteX22" fmla="*/ 164164 w 1488139"/>
                                          <a:gd name="connsiteY22" fmla="*/ 210546 h 982071"/>
                                          <a:gd name="connsiteX23" fmla="*/ 49864 w 1488139"/>
                                          <a:gd name="connsiteY23" fmla="*/ 229596 h 982071"/>
                                          <a:gd name="connsiteX24" fmla="*/ 40339 w 1488139"/>
                                          <a:gd name="connsiteY24" fmla="*/ 296271 h 982071"/>
                                          <a:gd name="connsiteX25" fmla="*/ 2239 w 1488139"/>
                                          <a:gd name="connsiteY25" fmla="*/ 305796 h 982071"/>
                                          <a:gd name="connsiteX26" fmla="*/ 11764 w 1488139"/>
                                          <a:gd name="connsiteY26" fmla="*/ 362946 h 982071"/>
                                          <a:gd name="connsiteX27" fmla="*/ 40339 w 1488139"/>
                                          <a:gd name="connsiteY27" fmla="*/ 343896 h 982071"/>
                                          <a:gd name="connsiteX28" fmla="*/ 78439 w 1488139"/>
                                          <a:gd name="connsiteY28" fmla="*/ 343896 h 982071"/>
                                          <a:gd name="connsiteX29" fmla="*/ 87964 w 1488139"/>
                                          <a:gd name="connsiteY29" fmla="*/ 401046 h 982071"/>
                                          <a:gd name="connsiteX30" fmla="*/ 145114 w 1488139"/>
                                          <a:gd name="connsiteY30" fmla="*/ 439146 h 982071"/>
                                          <a:gd name="connsiteX31" fmla="*/ 107014 w 1488139"/>
                                          <a:gd name="connsiteY31" fmla="*/ 515346 h 982071"/>
                                          <a:gd name="connsiteX32" fmla="*/ 78439 w 1488139"/>
                                          <a:gd name="connsiteY32" fmla="*/ 505821 h 982071"/>
                                          <a:gd name="connsiteX33" fmla="*/ 40339 w 1488139"/>
                                          <a:gd name="connsiteY33" fmla="*/ 515346 h 982071"/>
                                          <a:gd name="connsiteX34" fmla="*/ 87964 w 1488139"/>
                                          <a:gd name="connsiteY34" fmla="*/ 582021 h 982071"/>
                                          <a:gd name="connsiteX35" fmla="*/ 97489 w 1488139"/>
                                          <a:gd name="connsiteY35" fmla="*/ 667746 h 982071"/>
                                          <a:gd name="connsiteX36" fmla="*/ 192739 w 1488139"/>
                                          <a:gd name="connsiteY36" fmla="*/ 705846 h 982071"/>
                                          <a:gd name="connsiteX37" fmla="*/ 402289 w 1488139"/>
                                          <a:gd name="connsiteY37" fmla="*/ 734421 h 982071"/>
                                          <a:gd name="connsiteX38" fmla="*/ 497539 w 1488139"/>
                                          <a:gd name="connsiteY38" fmla="*/ 743946 h 982071"/>
                                          <a:gd name="connsiteX39" fmla="*/ 526114 w 1488139"/>
                                          <a:gd name="connsiteY39" fmla="*/ 772521 h 982071"/>
                                          <a:gd name="connsiteX40" fmla="*/ 554689 w 1488139"/>
                                          <a:gd name="connsiteY40" fmla="*/ 762996 h 982071"/>
                                          <a:gd name="connsiteX41" fmla="*/ 592789 w 1488139"/>
                                          <a:gd name="connsiteY41" fmla="*/ 743946 h 982071"/>
                                          <a:gd name="connsiteX42" fmla="*/ 630889 w 1488139"/>
                                          <a:gd name="connsiteY42" fmla="*/ 753471 h 982071"/>
                                          <a:gd name="connsiteX43" fmla="*/ 659464 w 1488139"/>
                                          <a:gd name="connsiteY43" fmla="*/ 839196 h 982071"/>
                                          <a:gd name="connsiteX44" fmla="*/ 688039 w 1488139"/>
                                          <a:gd name="connsiteY44" fmla="*/ 848721 h 982071"/>
                                          <a:gd name="connsiteX45" fmla="*/ 773764 w 1488139"/>
                                          <a:gd name="connsiteY45" fmla="*/ 877296 h 982071"/>
                                          <a:gd name="connsiteX46" fmla="*/ 802339 w 1488139"/>
                                          <a:gd name="connsiteY46" fmla="*/ 905871 h 982071"/>
                                          <a:gd name="connsiteX47" fmla="*/ 811864 w 1488139"/>
                                          <a:gd name="connsiteY47" fmla="*/ 934446 h 982071"/>
                                          <a:gd name="connsiteX48" fmla="*/ 830914 w 1488139"/>
                                          <a:gd name="connsiteY48" fmla="*/ 896346 h 982071"/>
                                          <a:gd name="connsiteX49" fmla="*/ 859489 w 1488139"/>
                                          <a:gd name="connsiteY49" fmla="*/ 886821 h 982071"/>
                                          <a:gd name="connsiteX50" fmla="*/ 916639 w 1488139"/>
                                          <a:gd name="connsiteY50" fmla="*/ 905871 h 982071"/>
                                          <a:gd name="connsiteX51" fmla="*/ 945214 w 1488139"/>
                                          <a:gd name="connsiteY51" fmla="*/ 915396 h 982071"/>
                                          <a:gd name="connsiteX52" fmla="*/ 1011889 w 1488139"/>
                                          <a:gd name="connsiteY52" fmla="*/ 905871 h 982071"/>
                                          <a:gd name="connsiteX53" fmla="*/ 1030939 w 1488139"/>
                                          <a:gd name="connsiteY53" fmla="*/ 867771 h 982071"/>
                                          <a:gd name="connsiteX54" fmla="*/ 1088089 w 1488139"/>
                                          <a:gd name="connsiteY54" fmla="*/ 886821 h 982071"/>
                                          <a:gd name="connsiteX55" fmla="*/ 1126189 w 1488139"/>
                                          <a:gd name="connsiteY55" fmla="*/ 896346 h 982071"/>
                                          <a:gd name="connsiteX56" fmla="*/ 1154764 w 1488139"/>
                                          <a:gd name="connsiteY56" fmla="*/ 915396 h 982071"/>
                                          <a:gd name="connsiteX57" fmla="*/ 1183339 w 1488139"/>
                                          <a:gd name="connsiteY57" fmla="*/ 924921 h 982071"/>
                                          <a:gd name="connsiteX58" fmla="*/ 1202389 w 1488139"/>
                                          <a:gd name="connsiteY58" fmla="*/ 953496 h 982071"/>
                                          <a:gd name="connsiteX59" fmla="*/ 1230964 w 1488139"/>
                                          <a:gd name="connsiteY59" fmla="*/ 982071 h 982071"/>
                                          <a:gd name="connsiteX60" fmla="*/ 1269064 w 1488139"/>
                                          <a:gd name="connsiteY60" fmla="*/ 972546 h 982071"/>
                                          <a:gd name="connsiteX61" fmla="*/ 1278589 w 1488139"/>
                                          <a:gd name="connsiteY61" fmla="*/ 943971 h 982071"/>
                                          <a:gd name="connsiteX62" fmla="*/ 1307164 w 1488139"/>
                                          <a:gd name="connsiteY62" fmla="*/ 934446 h 982071"/>
                                          <a:gd name="connsiteX63" fmla="*/ 1335739 w 1488139"/>
                                          <a:gd name="connsiteY63" fmla="*/ 943971 h 982071"/>
                                          <a:gd name="connsiteX64" fmla="*/ 1354789 w 1488139"/>
                                          <a:gd name="connsiteY64" fmla="*/ 972546 h 982071"/>
                                          <a:gd name="connsiteX65" fmla="*/ 1383364 w 1488139"/>
                                          <a:gd name="connsiteY65" fmla="*/ 915396 h 982071"/>
                                          <a:gd name="connsiteX66" fmla="*/ 1402414 w 1488139"/>
                                          <a:gd name="connsiteY66" fmla="*/ 886821 h 982071"/>
                                          <a:gd name="connsiteX67" fmla="*/ 1421464 w 1488139"/>
                                          <a:gd name="connsiteY67" fmla="*/ 829671 h 982071"/>
                                          <a:gd name="connsiteX68" fmla="*/ 1411939 w 1488139"/>
                                          <a:gd name="connsiteY68" fmla="*/ 791571 h 982071"/>
                                          <a:gd name="connsiteX69" fmla="*/ 1392889 w 1488139"/>
                                          <a:gd name="connsiteY69" fmla="*/ 696321 h 982071"/>
                                          <a:gd name="connsiteX70" fmla="*/ 1421464 w 1488139"/>
                                          <a:gd name="connsiteY70" fmla="*/ 677271 h 982071"/>
                                          <a:gd name="connsiteX71" fmla="*/ 1440514 w 1488139"/>
                                          <a:gd name="connsiteY71" fmla="*/ 648696 h 982071"/>
                                          <a:gd name="connsiteX72" fmla="*/ 1421464 w 1488139"/>
                                          <a:gd name="connsiteY72" fmla="*/ 620121 h 982071"/>
                                          <a:gd name="connsiteX73" fmla="*/ 1411939 w 1488139"/>
                                          <a:gd name="connsiteY73" fmla="*/ 562971 h 982071"/>
                                          <a:gd name="connsiteX74" fmla="*/ 1421464 w 1488139"/>
                                          <a:gd name="connsiteY74" fmla="*/ 515346 h 982071"/>
                                          <a:gd name="connsiteX75" fmla="*/ 1478614 w 1488139"/>
                                          <a:gd name="connsiteY75" fmla="*/ 467721 h 982071"/>
                                          <a:gd name="connsiteX76" fmla="*/ 1488139 w 1488139"/>
                                          <a:gd name="connsiteY76" fmla="*/ 381996 h 9820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1488139" h="982071">
                                            <a:moveTo>
                                              <a:pt x="1488139" y="381996"/>
                                            </a:moveTo>
                                            <a:cubicBezTo>
                                              <a:pt x="1450039" y="378821"/>
                                              <a:pt x="1410600" y="382974"/>
                                              <a:pt x="1373839" y="372471"/>
                                            </a:cubicBezTo>
                                            <a:cubicBezTo>
                                              <a:pt x="1353022" y="366523"/>
                                              <a:pt x="1355074" y="327584"/>
                                              <a:pt x="1345264" y="315321"/>
                                            </a:cubicBezTo>
                                            <a:cubicBezTo>
                                              <a:pt x="1331835" y="298535"/>
                                              <a:pt x="1306938" y="293021"/>
                                              <a:pt x="1288114" y="286746"/>
                                            </a:cubicBezTo>
                                            <a:cubicBezTo>
                                              <a:pt x="1278589" y="277221"/>
                                              <a:pt x="1270747" y="265643"/>
                                              <a:pt x="1259539" y="258171"/>
                                            </a:cubicBezTo>
                                            <a:cubicBezTo>
                                              <a:pt x="1251185" y="252602"/>
                                              <a:pt x="1238064" y="255746"/>
                                              <a:pt x="1230964" y="248646"/>
                                            </a:cubicBezTo>
                                            <a:cubicBezTo>
                                              <a:pt x="1180860" y="198542"/>
                                              <a:pt x="1278690" y="234384"/>
                                              <a:pt x="1183339" y="210546"/>
                                            </a:cubicBezTo>
                                            <a:cubicBezTo>
                                              <a:pt x="1164289" y="197846"/>
                                              <a:pt x="1148773" y="176210"/>
                                              <a:pt x="1126189" y="172446"/>
                                            </a:cubicBezTo>
                                            <a:cubicBezTo>
                                              <a:pt x="1043790" y="158713"/>
                                              <a:pt x="1088203" y="165316"/>
                                              <a:pt x="992839" y="153396"/>
                                            </a:cubicBezTo>
                                            <a:cubicBezTo>
                                              <a:pt x="986489" y="143871"/>
                                              <a:pt x="982728" y="131972"/>
                                              <a:pt x="973789" y="124821"/>
                                            </a:cubicBezTo>
                                            <a:cubicBezTo>
                                              <a:pt x="965949" y="118549"/>
                                              <a:pt x="955166" y="116623"/>
                                              <a:pt x="945214" y="115296"/>
                                            </a:cubicBezTo>
                                            <a:cubicBezTo>
                                              <a:pt x="907317" y="110243"/>
                                              <a:pt x="869014" y="108946"/>
                                              <a:pt x="830914" y="105771"/>
                                            </a:cubicBezTo>
                                            <a:cubicBezTo>
                                              <a:pt x="824564" y="93071"/>
                                              <a:pt x="820954" y="78579"/>
                                              <a:pt x="811864" y="67671"/>
                                            </a:cubicBezTo>
                                            <a:cubicBezTo>
                                              <a:pt x="783467" y="33594"/>
                                              <a:pt x="720183" y="42310"/>
                                              <a:pt x="688039" y="39096"/>
                                            </a:cubicBezTo>
                                            <a:cubicBezTo>
                                              <a:pt x="595727" y="-22445"/>
                                              <a:pt x="653361" y="9282"/>
                                              <a:pt x="421339" y="996"/>
                                            </a:cubicBezTo>
                                            <a:cubicBezTo>
                                              <a:pt x="411305" y="638"/>
                                              <a:pt x="402418" y="7763"/>
                                              <a:pt x="392764" y="10521"/>
                                            </a:cubicBezTo>
                                            <a:cubicBezTo>
                                              <a:pt x="380177" y="14117"/>
                                              <a:pt x="367364" y="16871"/>
                                              <a:pt x="354664" y="20046"/>
                                            </a:cubicBezTo>
                                            <a:cubicBezTo>
                                              <a:pt x="351489" y="35921"/>
                                              <a:pt x="357781" y="57558"/>
                                              <a:pt x="345139" y="67671"/>
                                            </a:cubicBezTo>
                                            <a:cubicBezTo>
                                              <a:pt x="334917" y="75849"/>
                                              <a:pt x="318140" y="51208"/>
                                              <a:pt x="307039" y="58146"/>
                                            </a:cubicBezTo>
                                            <a:cubicBezTo>
                                              <a:pt x="287624" y="70280"/>
                                              <a:pt x="281639" y="96246"/>
                                              <a:pt x="268939" y="115296"/>
                                            </a:cubicBezTo>
                                            <a:cubicBezTo>
                                              <a:pt x="218139" y="191496"/>
                                              <a:pt x="284814" y="99421"/>
                                              <a:pt x="221314" y="162921"/>
                                            </a:cubicBezTo>
                                            <a:cubicBezTo>
                                              <a:pt x="210089" y="174146"/>
                                              <a:pt x="204935" y="190858"/>
                                              <a:pt x="192739" y="201021"/>
                                            </a:cubicBezTo>
                                            <a:cubicBezTo>
                                              <a:pt x="185026" y="207449"/>
                                              <a:pt x="173818" y="207788"/>
                                              <a:pt x="164164" y="210546"/>
                                            </a:cubicBezTo>
                                            <a:cubicBezTo>
                                              <a:pt x="115216" y="224531"/>
                                              <a:pt x="111707" y="221866"/>
                                              <a:pt x="49864" y="229596"/>
                                            </a:cubicBezTo>
                                            <a:cubicBezTo>
                                              <a:pt x="46689" y="251821"/>
                                              <a:pt x="52238" y="277233"/>
                                              <a:pt x="40339" y="296271"/>
                                            </a:cubicBezTo>
                                            <a:cubicBezTo>
                                              <a:pt x="33401" y="307372"/>
                                              <a:pt x="7396" y="293764"/>
                                              <a:pt x="2239" y="305796"/>
                                            </a:cubicBezTo>
                                            <a:cubicBezTo>
                                              <a:pt x="-5369" y="323547"/>
                                              <a:pt x="8589" y="343896"/>
                                              <a:pt x="11764" y="362946"/>
                                            </a:cubicBezTo>
                                            <a:cubicBezTo>
                                              <a:pt x="21289" y="356596"/>
                                              <a:pt x="32244" y="351991"/>
                                              <a:pt x="40339" y="343896"/>
                                            </a:cubicBezTo>
                                            <a:cubicBezTo>
                                              <a:pt x="70819" y="313416"/>
                                              <a:pt x="47959" y="298176"/>
                                              <a:pt x="78439" y="343896"/>
                                            </a:cubicBezTo>
                                            <a:cubicBezTo>
                                              <a:pt x="81614" y="362946"/>
                                              <a:pt x="76889" y="385224"/>
                                              <a:pt x="87964" y="401046"/>
                                            </a:cubicBezTo>
                                            <a:cubicBezTo>
                                              <a:pt x="101094" y="419803"/>
                                              <a:pt x="145114" y="439146"/>
                                              <a:pt x="145114" y="439146"/>
                                            </a:cubicBezTo>
                                            <a:cubicBezTo>
                                              <a:pt x="139480" y="478587"/>
                                              <a:pt x="154513" y="515346"/>
                                              <a:pt x="107014" y="515346"/>
                                            </a:cubicBezTo>
                                            <a:cubicBezTo>
                                              <a:pt x="96974" y="515346"/>
                                              <a:pt x="87964" y="508996"/>
                                              <a:pt x="78439" y="505821"/>
                                            </a:cubicBezTo>
                                            <a:cubicBezTo>
                                              <a:pt x="65739" y="508996"/>
                                              <a:pt x="43935" y="502759"/>
                                              <a:pt x="40339" y="515346"/>
                                            </a:cubicBezTo>
                                            <a:cubicBezTo>
                                              <a:pt x="24878" y="569459"/>
                                              <a:pt x="59182" y="572427"/>
                                              <a:pt x="87964" y="582021"/>
                                            </a:cubicBezTo>
                                            <a:cubicBezTo>
                                              <a:pt x="91139" y="610596"/>
                                              <a:pt x="75402" y="649340"/>
                                              <a:pt x="97489" y="667746"/>
                                            </a:cubicBezTo>
                                            <a:cubicBezTo>
                                              <a:pt x="190034" y="744867"/>
                                              <a:pt x="219718" y="624909"/>
                                              <a:pt x="192739" y="705846"/>
                                            </a:cubicBezTo>
                                            <a:cubicBezTo>
                                              <a:pt x="218951" y="810694"/>
                                              <a:pt x="186651" y="734421"/>
                                              <a:pt x="402289" y="734421"/>
                                            </a:cubicBezTo>
                                            <a:cubicBezTo>
                                              <a:pt x="434197" y="734421"/>
                                              <a:pt x="465789" y="740771"/>
                                              <a:pt x="497539" y="743946"/>
                                            </a:cubicBezTo>
                                            <a:cubicBezTo>
                                              <a:pt x="507064" y="753471"/>
                                              <a:pt x="513335" y="768261"/>
                                              <a:pt x="526114" y="772521"/>
                                            </a:cubicBezTo>
                                            <a:cubicBezTo>
                                              <a:pt x="535639" y="775696"/>
                                              <a:pt x="545461" y="766951"/>
                                              <a:pt x="554689" y="762996"/>
                                            </a:cubicBezTo>
                                            <a:cubicBezTo>
                                              <a:pt x="567740" y="757403"/>
                                              <a:pt x="580089" y="750296"/>
                                              <a:pt x="592789" y="743946"/>
                                            </a:cubicBezTo>
                                            <a:cubicBezTo>
                                              <a:pt x="605489" y="747121"/>
                                              <a:pt x="620832" y="745090"/>
                                              <a:pt x="630889" y="753471"/>
                                            </a:cubicBezTo>
                                            <a:cubicBezTo>
                                              <a:pt x="667852" y="784273"/>
                                              <a:pt x="634985" y="802478"/>
                                              <a:pt x="659464" y="839196"/>
                                            </a:cubicBezTo>
                                            <a:cubicBezTo>
                                              <a:pt x="665033" y="847550"/>
                                              <a:pt x="679059" y="844231"/>
                                              <a:pt x="688039" y="848721"/>
                                            </a:cubicBezTo>
                                            <a:cubicBezTo>
                                              <a:pt x="755005" y="882204"/>
                                              <a:pt x="667664" y="859613"/>
                                              <a:pt x="773764" y="877296"/>
                                            </a:cubicBezTo>
                                            <a:cubicBezTo>
                                              <a:pt x="783289" y="886821"/>
                                              <a:pt x="794867" y="894663"/>
                                              <a:pt x="802339" y="905871"/>
                                            </a:cubicBezTo>
                                            <a:cubicBezTo>
                                              <a:pt x="807908" y="914225"/>
                                              <a:pt x="802339" y="937621"/>
                                              <a:pt x="811864" y="934446"/>
                                            </a:cubicBezTo>
                                            <a:cubicBezTo>
                                              <a:pt x="825334" y="929956"/>
                                              <a:pt x="820874" y="906386"/>
                                              <a:pt x="830914" y="896346"/>
                                            </a:cubicBezTo>
                                            <a:cubicBezTo>
                                              <a:pt x="838014" y="889246"/>
                                              <a:pt x="849964" y="889996"/>
                                              <a:pt x="859489" y="886821"/>
                                            </a:cubicBezTo>
                                            <a:lnTo>
                                              <a:pt x="916639" y="905871"/>
                                            </a:lnTo>
                                            <a:lnTo>
                                              <a:pt x="945214" y="915396"/>
                                            </a:lnTo>
                                            <a:cubicBezTo>
                                              <a:pt x="967439" y="912221"/>
                                              <a:pt x="992264" y="916774"/>
                                              <a:pt x="1011889" y="905871"/>
                                            </a:cubicBezTo>
                                            <a:cubicBezTo>
                                              <a:pt x="1024301" y="898975"/>
                                              <a:pt x="1017164" y="871215"/>
                                              <a:pt x="1030939" y="867771"/>
                                            </a:cubicBezTo>
                                            <a:cubicBezTo>
                                              <a:pt x="1050420" y="862901"/>
                                              <a:pt x="1068608" y="881951"/>
                                              <a:pt x="1088089" y="886821"/>
                                            </a:cubicBezTo>
                                            <a:lnTo>
                                              <a:pt x="1126189" y="896346"/>
                                            </a:lnTo>
                                            <a:cubicBezTo>
                                              <a:pt x="1135714" y="902696"/>
                                              <a:pt x="1144525" y="910276"/>
                                              <a:pt x="1154764" y="915396"/>
                                            </a:cubicBezTo>
                                            <a:cubicBezTo>
                                              <a:pt x="1163744" y="919886"/>
                                              <a:pt x="1175499" y="918649"/>
                                              <a:pt x="1183339" y="924921"/>
                                            </a:cubicBezTo>
                                            <a:cubicBezTo>
                                              <a:pt x="1192278" y="932072"/>
                                              <a:pt x="1195060" y="944702"/>
                                              <a:pt x="1202389" y="953496"/>
                                            </a:cubicBezTo>
                                            <a:cubicBezTo>
                                              <a:pt x="1211013" y="963844"/>
                                              <a:pt x="1221439" y="972546"/>
                                              <a:pt x="1230964" y="982071"/>
                                            </a:cubicBezTo>
                                            <a:cubicBezTo>
                                              <a:pt x="1243664" y="978896"/>
                                              <a:pt x="1258842" y="980724"/>
                                              <a:pt x="1269064" y="972546"/>
                                            </a:cubicBezTo>
                                            <a:cubicBezTo>
                                              <a:pt x="1276904" y="966274"/>
                                              <a:pt x="1271489" y="951071"/>
                                              <a:pt x="1278589" y="943971"/>
                                            </a:cubicBezTo>
                                            <a:cubicBezTo>
                                              <a:pt x="1285689" y="936871"/>
                                              <a:pt x="1297639" y="937621"/>
                                              <a:pt x="1307164" y="934446"/>
                                            </a:cubicBezTo>
                                            <a:cubicBezTo>
                                              <a:pt x="1316689" y="937621"/>
                                              <a:pt x="1327899" y="937699"/>
                                              <a:pt x="1335739" y="943971"/>
                                            </a:cubicBezTo>
                                            <a:cubicBezTo>
                                              <a:pt x="1344678" y="951122"/>
                                              <a:pt x="1343341" y="972546"/>
                                              <a:pt x="1354789" y="972546"/>
                                            </a:cubicBezTo>
                                            <a:cubicBezTo>
                                              <a:pt x="1368438" y="972546"/>
                                              <a:pt x="1379841" y="922442"/>
                                              <a:pt x="1383364" y="915396"/>
                                            </a:cubicBezTo>
                                            <a:cubicBezTo>
                                              <a:pt x="1388484" y="905157"/>
                                              <a:pt x="1397765" y="897282"/>
                                              <a:pt x="1402414" y="886821"/>
                                            </a:cubicBezTo>
                                            <a:cubicBezTo>
                                              <a:pt x="1410569" y="868471"/>
                                              <a:pt x="1421464" y="829671"/>
                                              <a:pt x="1421464" y="829671"/>
                                            </a:cubicBezTo>
                                            <a:cubicBezTo>
                                              <a:pt x="1418289" y="816971"/>
                                              <a:pt x="1418434" y="802937"/>
                                              <a:pt x="1411939" y="791571"/>
                                            </a:cubicBezTo>
                                            <a:cubicBezTo>
                                              <a:pt x="1383967" y="742620"/>
                                              <a:pt x="1353995" y="783832"/>
                                              <a:pt x="1392889" y="696321"/>
                                            </a:cubicBezTo>
                                            <a:cubicBezTo>
                                              <a:pt x="1397538" y="685860"/>
                                              <a:pt x="1411939" y="683621"/>
                                              <a:pt x="1421464" y="677271"/>
                                            </a:cubicBezTo>
                                            <a:cubicBezTo>
                                              <a:pt x="1427814" y="667746"/>
                                              <a:pt x="1440514" y="660144"/>
                                              <a:pt x="1440514" y="648696"/>
                                            </a:cubicBezTo>
                                            <a:cubicBezTo>
                                              <a:pt x="1440514" y="637248"/>
                                              <a:pt x="1425084" y="630981"/>
                                              <a:pt x="1421464" y="620121"/>
                                            </a:cubicBezTo>
                                            <a:cubicBezTo>
                                              <a:pt x="1415357" y="601799"/>
                                              <a:pt x="1415114" y="582021"/>
                                              <a:pt x="1411939" y="562971"/>
                                            </a:cubicBezTo>
                                            <a:cubicBezTo>
                                              <a:pt x="1415114" y="547096"/>
                                              <a:pt x="1414224" y="529826"/>
                                              <a:pt x="1421464" y="515346"/>
                                            </a:cubicBezTo>
                                            <a:cubicBezTo>
                                              <a:pt x="1430631" y="497011"/>
                                              <a:pt x="1462203" y="478661"/>
                                              <a:pt x="1478614" y="467721"/>
                                            </a:cubicBezTo>
                                            <a:lnTo>
                                              <a:pt x="1488139" y="381996"/>
                                            </a:lnTo>
                                            <a:close/>
                                          </a:path>
                                        </a:pathLst>
                                      </a:custGeom>
                                      <a:solidFill>
                                        <a:schemeClr val="accent3">
                                          <a:lumMod val="60000"/>
                                          <a:lumOff val="40000"/>
                                        </a:schemeClr>
                                      </a:solidFill>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s-ES" sz="1100" b="1">
                                            <a:solidFill>
                                              <a:sysClr val="windowText" lastClr="000000"/>
                                            </a:solidFill>
                                          </a:rPr>
                                          <a:t>Monte</a:t>
                                        </a:r>
                                        <a:r>
                                          <a:rPr lang="es-ES" sz="1100" b="1" baseline="0">
                                            <a:solidFill>
                                              <a:sysClr val="windowText" lastClr="000000"/>
                                            </a:solidFill>
                                          </a:rPr>
                                          <a:t> Cristi</a:t>
                                        </a:r>
                                      </a:p>
                                      <a:p>
                                        <a:pPr algn="ctr"/>
                                        <a:r>
                                          <a:rPr lang="es-ES" sz="1100" b="1" baseline="0">
                                            <a:solidFill>
                                              <a:sysClr val="windowText" lastClr="000000"/>
                                            </a:solidFill>
                                          </a:rPr>
                                          <a:t>12,978</a:t>
                                        </a:r>
                                      </a:p>
                                      <a:p>
                                        <a:pPr algn="ctr"/>
                                        <a:r>
                                          <a:rPr lang="es-ES" sz="1100" b="1" baseline="0">
                                            <a:solidFill>
                                              <a:sysClr val="windowText" lastClr="000000"/>
                                            </a:solidFill>
                                          </a:rPr>
                                          <a:t>0.4%</a:t>
                                        </a:r>
                                      </a:p>
                                      <a:p>
                                        <a:pPr algn="ctr"/>
                                        <a:endParaRPr lang="es-ES" sz="1100" b="1">
                                          <a:solidFill>
                                            <a:sysClr val="windowText" lastClr="000000"/>
                                          </a:solidFill>
                                        </a:endParaRPr>
                                      </a:p>
                                    </xdr:txBody>
                                  </xdr:sp>
                                  <xdr:sp macro="" textlink="">
                                    <xdr:nvSpPr>
                                      <xdr:cNvPr id="46" name="Forma libre 45"/>
                                      <xdr:cNvSpPr/>
                                    </xdr:nvSpPr>
                                    <xdr:spPr>
                                      <a:xfrm>
                                        <a:off x="1769602" y="-10893"/>
                                        <a:ext cx="2078723" cy="1049435"/>
                                      </a:xfrm>
                                      <a:custGeom>
                                        <a:avLst/>
                                        <a:gdLst>
                                          <a:gd name="connsiteX0" fmla="*/ 2273 w 2021573"/>
                                          <a:gd name="connsiteY0" fmla="*/ 276225 h 1049435"/>
                                          <a:gd name="connsiteX1" fmla="*/ 68948 w 2021573"/>
                                          <a:gd name="connsiteY1" fmla="*/ 266700 h 1049435"/>
                                          <a:gd name="connsiteX2" fmla="*/ 97523 w 2021573"/>
                                          <a:gd name="connsiteY2" fmla="*/ 247650 h 1049435"/>
                                          <a:gd name="connsiteX3" fmla="*/ 87998 w 2021573"/>
                                          <a:gd name="connsiteY3" fmla="*/ 200025 h 1049435"/>
                                          <a:gd name="connsiteX4" fmla="*/ 78473 w 2021573"/>
                                          <a:gd name="connsiteY4" fmla="*/ 171450 h 1049435"/>
                                          <a:gd name="connsiteX5" fmla="*/ 145148 w 2021573"/>
                                          <a:gd name="connsiteY5" fmla="*/ 180975 h 1049435"/>
                                          <a:gd name="connsiteX6" fmla="*/ 173723 w 2021573"/>
                                          <a:gd name="connsiteY6" fmla="*/ 200025 h 1049435"/>
                                          <a:gd name="connsiteX7" fmla="*/ 326123 w 2021573"/>
                                          <a:gd name="connsiteY7" fmla="*/ 180975 h 1049435"/>
                                          <a:gd name="connsiteX8" fmla="*/ 364223 w 2021573"/>
                                          <a:gd name="connsiteY8" fmla="*/ 152400 h 1049435"/>
                                          <a:gd name="connsiteX9" fmla="*/ 392798 w 2021573"/>
                                          <a:gd name="connsiteY9" fmla="*/ 142875 h 1049435"/>
                                          <a:gd name="connsiteX10" fmla="*/ 402323 w 2021573"/>
                                          <a:gd name="connsiteY10" fmla="*/ 95250 h 1049435"/>
                                          <a:gd name="connsiteX11" fmla="*/ 430898 w 2021573"/>
                                          <a:gd name="connsiteY11" fmla="*/ 85725 h 1049435"/>
                                          <a:gd name="connsiteX12" fmla="*/ 468998 w 2021573"/>
                                          <a:gd name="connsiteY12" fmla="*/ 76200 h 1049435"/>
                                          <a:gd name="connsiteX13" fmla="*/ 507098 w 2021573"/>
                                          <a:gd name="connsiteY13" fmla="*/ 19050 h 1049435"/>
                                          <a:gd name="connsiteX14" fmla="*/ 564248 w 2021573"/>
                                          <a:gd name="connsiteY14" fmla="*/ 0 h 1049435"/>
                                          <a:gd name="connsiteX15" fmla="*/ 592823 w 2021573"/>
                                          <a:gd name="connsiteY15" fmla="*/ 9525 h 1049435"/>
                                          <a:gd name="connsiteX16" fmla="*/ 640448 w 2021573"/>
                                          <a:gd name="connsiteY16" fmla="*/ 57150 h 1049435"/>
                                          <a:gd name="connsiteX17" fmla="*/ 811898 w 2021573"/>
                                          <a:gd name="connsiteY17" fmla="*/ 76200 h 1049435"/>
                                          <a:gd name="connsiteX18" fmla="*/ 840473 w 2021573"/>
                                          <a:gd name="connsiteY18" fmla="*/ 85725 h 1049435"/>
                                          <a:gd name="connsiteX19" fmla="*/ 973823 w 2021573"/>
                                          <a:gd name="connsiteY19" fmla="*/ 95250 h 1049435"/>
                                          <a:gd name="connsiteX20" fmla="*/ 992873 w 2021573"/>
                                          <a:gd name="connsiteY20" fmla="*/ 152400 h 1049435"/>
                                          <a:gd name="connsiteX21" fmla="*/ 1030973 w 2021573"/>
                                          <a:gd name="connsiteY21" fmla="*/ 171450 h 1049435"/>
                                          <a:gd name="connsiteX22" fmla="*/ 1040498 w 2021573"/>
                                          <a:gd name="connsiteY22" fmla="*/ 200025 h 1049435"/>
                                          <a:gd name="connsiteX23" fmla="*/ 1059548 w 2021573"/>
                                          <a:gd name="connsiteY23" fmla="*/ 228600 h 1049435"/>
                                          <a:gd name="connsiteX24" fmla="*/ 1088123 w 2021573"/>
                                          <a:gd name="connsiteY24" fmla="*/ 257175 h 1049435"/>
                                          <a:gd name="connsiteX25" fmla="*/ 1116698 w 2021573"/>
                                          <a:gd name="connsiteY25" fmla="*/ 266700 h 1049435"/>
                                          <a:gd name="connsiteX26" fmla="*/ 1211948 w 2021573"/>
                                          <a:gd name="connsiteY26" fmla="*/ 276225 h 1049435"/>
                                          <a:gd name="connsiteX27" fmla="*/ 1288148 w 2021573"/>
                                          <a:gd name="connsiteY27" fmla="*/ 352425 h 1049435"/>
                                          <a:gd name="connsiteX28" fmla="*/ 1326248 w 2021573"/>
                                          <a:gd name="connsiteY28" fmla="*/ 361950 h 1049435"/>
                                          <a:gd name="connsiteX29" fmla="*/ 1421498 w 2021573"/>
                                          <a:gd name="connsiteY29" fmla="*/ 428625 h 1049435"/>
                                          <a:gd name="connsiteX30" fmla="*/ 1440548 w 2021573"/>
                                          <a:gd name="connsiteY30" fmla="*/ 457200 h 1049435"/>
                                          <a:gd name="connsiteX31" fmla="*/ 1469123 w 2021573"/>
                                          <a:gd name="connsiteY31" fmla="*/ 466725 h 1049435"/>
                                          <a:gd name="connsiteX32" fmla="*/ 1516748 w 2021573"/>
                                          <a:gd name="connsiteY32" fmla="*/ 457200 h 1049435"/>
                                          <a:gd name="connsiteX33" fmla="*/ 1583423 w 2021573"/>
                                          <a:gd name="connsiteY33" fmla="*/ 447675 h 1049435"/>
                                          <a:gd name="connsiteX34" fmla="*/ 1611998 w 2021573"/>
                                          <a:gd name="connsiteY34" fmla="*/ 438150 h 1049435"/>
                                          <a:gd name="connsiteX35" fmla="*/ 1631048 w 2021573"/>
                                          <a:gd name="connsiteY35" fmla="*/ 466725 h 1049435"/>
                                          <a:gd name="connsiteX36" fmla="*/ 1669148 w 2021573"/>
                                          <a:gd name="connsiteY36" fmla="*/ 400050 h 1049435"/>
                                          <a:gd name="connsiteX37" fmla="*/ 1897748 w 2021573"/>
                                          <a:gd name="connsiteY37" fmla="*/ 419100 h 1049435"/>
                                          <a:gd name="connsiteX38" fmla="*/ 1935848 w 2021573"/>
                                          <a:gd name="connsiteY38" fmla="*/ 476250 h 1049435"/>
                                          <a:gd name="connsiteX39" fmla="*/ 1945373 w 2021573"/>
                                          <a:gd name="connsiteY39" fmla="*/ 504825 h 1049435"/>
                                          <a:gd name="connsiteX40" fmla="*/ 1983473 w 2021573"/>
                                          <a:gd name="connsiteY40" fmla="*/ 533400 h 1049435"/>
                                          <a:gd name="connsiteX41" fmla="*/ 1992998 w 2021573"/>
                                          <a:gd name="connsiteY41" fmla="*/ 561975 h 1049435"/>
                                          <a:gd name="connsiteX42" fmla="*/ 2012048 w 2021573"/>
                                          <a:gd name="connsiteY42" fmla="*/ 600075 h 1049435"/>
                                          <a:gd name="connsiteX43" fmla="*/ 2021573 w 2021573"/>
                                          <a:gd name="connsiteY43" fmla="*/ 638175 h 1049435"/>
                                          <a:gd name="connsiteX44" fmla="*/ 1992998 w 2021573"/>
                                          <a:gd name="connsiteY44" fmla="*/ 647700 h 1049435"/>
                                          <a:gd name="connsiteX45" fmla="*/ 1954898 w 2021573"/>
                                          <a:gd name="connsiteY45" fmla="*/ 657225 h 1049435"/>
                                          <a:gd name="connsiteX46" fmla="*/ 1916798 w 2021573"/>
                                          <a:gd name="connsiteY46" fmla="*/ 714375 h 1049435"/>
                                          <a:gd name="connsiteX47" fmla="*/ 1888223 w 2021573"/>
                                          <a:gd name="connsiteY47" fmla="*/ 704850 h 1049435"/>
                                          <a:gd name="connsiteX48" fmla="*/ 1859648 w 2021573"/>
                                          <a:gd name="connsiteY48" fmla="*/ 685800 h 1049435"/>
                                          <a:gd name="connsiteX49" fmla="*/ 1802498 w 2021573"/>
                                          <a:gd name="connsiteY49" fmla="*/ 695325 h 1049435"/>
                                          <a:gd name="connsiteX50" fmla="*/ 1773923 w 2021573"/>
                                          <a:gd name="connsiteY50" fmla="*/ 714375 h 1049435"/>
                                          <a:gd name="connsiteX51" fmla="*/ 1716773 w 2021573"/>
                                          <a:gd name="connsiteY51" fmla="*/ 752475 h 1049435"/>
                                          <a:gd name="connsiteX52" fmla="*/ 1697723 w 2021573"/>
                                          <a:gd name="connsiteY52" fmla="*/ 809625 h 1049435"/>
                                          <a:gd name="connsiteX53" fmla="*/ 1754873 w 2021573"/>
                                          <a:gd name="connsiteY53" fmla="*/ 866775 h 1049435"/>
                                          <a:gd name="connsiteX54" fmla="*/ 1745348 w 2021573"/>
                                          <a:gd name="connsiteY54" fmla="*/ 904875 h 1049435"/>
                                          <a:gd name="connsiteX55" fmla="*/ 1726298 w 2021573"/>
                                          <a:gd name="connsiteY55" fmla="*/ 942975 h 1049435"/>
                                          <a:gd name="connsiteX56" fmla="*/ 1716773 w 2021573"/>
                                          <a:gd name="connsiteY56" fmla="*/ 971550 h 1049435"/>
                                          <a:gd name="connsiteX57" fmla="*/ 1697723 w 2021573"/>
                                          <a:gd name="connsiteY57" fmla="*/ 914400 h 1049435"/>
                                          <a:gd name="connsiteX58" fmla="*/ 1659623 w 2021573"/>
                                          <a:gd name="connsiteY58" fmla="*/ 923925 h 1049435"/>
                                          <a:gd name="connsiteX59" fmla="*/ 1621523 w 2021573"/>
                                          <a:gd name="connsiteY59" fmla="*/ 1000125 h 1049435"/>
                                          <a:gd name="connsiteX60" fmla="*/ 1631048 w 2021573"/>
                                          <a:gd name="connsiteY60" fmla="*/ 1038225 h 1049435"/>
                                          <a:gd name="connsiteX61" fmla="*/ 1564373 w 2021573"/>
                                          <a:gd name="connsiteY61" fmla="*/ 1028700 h 1049435"/>
                                          <a:gd name="connsiteX62" fmla="*/ 1535798 w 2021573"/>
                                          <a:gd name="connsiteY62" fmla="*/ 1009650 h 1049435"/>
                                          <a:gd name="connsiteX63" fmla="*/ 1478648 w 2021573"/>
                                          <a:gd name="connsiteY63" fmla="*/ 990600 h 1049435"/>
                                          <a:gd name="connsiteX64" fmla="*/ 1450073 w 2021573"/>
                                          <a:gd name="connsiteY64" fmla="*/ 981075 h 1049435"/>
                                          <a:gd name="connsiteX65" fmla="*/ 1392923 w 2021573"/>
                                          <a:gd name="connsiteY65" fmla="*/ 952500 h 1049435"/>
                                          <a:gd name="connsiteX66" fmla="*/ 1383398 w 2021573"/>
                                          <a:gd name="connsiteY66" fmla="*/ 914400 h 1049435"/>
                                          <a:gd name="connsiteX67" fmla="*/ 1383398 w 2021573"/>
                                          <a:gd name="connsiteY67" fmla="*/ 809625 h 1049435"/>
                                          <a:gd name="connsiteX68" fmla="*/ 1354823 w 2021573"/>
                                          <a:gd name="connsiteY68" fmla="*/ 790575 h 1049435"/>
                                          <a:gd name="connsiteX69" fmla="*/ 1297673 w 2021573"/>
                                          <a:gd name="connsiteY69" fmla="*/ 781050 h 1049435"/>
                                          <a:gd name="connsiteX70" fmla="*/ 1240523 w 2021573"/>
                                          <a:gd name="connsiteY70" fmla="*/ 771525 h 1049435"/>
                                          <a:gd name="connsiteX71" fmla="*/ 1230998 w 2021573"/>
                                          <a:gd name="connsiteY71" fmla="*/ 800100 h 1049435"/>
                                          <a:gd name="connsiteX72" fmla="*/ 1240523 w 2021573"/>
                                          <a:gd name="connsiteY72" fmla="*/ 838200 h 1049435"/>
                                          <a:gd name="connsiteX73" fmla="*/ 1126223 w 2021573"/>
                                          <a:gd name="connsiteY73" fmla="*/ 866775 h 1049435"/>
                                          <a:gd name="connsiteX74" fmla="*/ 1107173 w 2021573"/>
                                          <a:gd name="connsiteY74" fmla="*/ 838200 h 1049435"/>
                                          <a:gd name="connsiteX75" fmla="*/ 1078598 w 2021573"/>
                                          <a:gd name="connsiteY75" fmla="*/ 781050 h 1049435"/>
                                          <a:gd name="connsiteX76" fmla="*/ 1002398 w 2021573"/>
                                          <a:gd name="connsiteY76" fmla="*/ 752475 h 1049435"/>
                                          <a:gd name="connsiteX77" fmla="*/ 945248 w 2021573"/>
                                          <a:gd name="connsiteY77" fmla="*/ 733425 h 1049435"/>
                                          <a:gd name="connsiteX78" fmla="*/ 916673 w 2021573"/>
                                          <a:gd name="connsiteY78" fmla="*/ 723900 h 1049435"/>
                                          <a:gd name="connsiteX79" fmla="*/ 830948 w 2021573"/>
                                          <a:gd name="connsiteY79" fmla="*/ 714375 h 1049435"/>
                                          <a:gd name="connsiteX80" fmla="*/ 773798 w 2021573"/>
                                          <a:gd name="connsiteY80" fmla="*/ 676275 h 1049435"/>
                                          <a:gd name="connsiteX81" fmla="*/ 659498 w 2021573"/>
                                          <a:gd name="connsiteY81" fmla="*/ 647700 h 1049435"/>
                                          <a:gd name="connsiteX82" fmla="*/ 640448 w 2021573"/>
                                          <a:gd name="connsiteY82" fmla="*/ 619125 h 1049435"/>
                                          <a:gd name="connsiteX83" fmla="*/ 583298 w 2021573"/>
                                          <a:gd name="connsiteY83" fmla="*/ 590550 h 1049435"/>
                                          <a:gd name="connsiteX84" fmla="*/ 554723 w 2021573"/>
                                          <a:gd name="connsiteY84" fmla="*/ 571500 h 1049435"/>
                                          <a:gd name="connsiteX85" fmla="*/ 402323 w 2021573"/>
                                          <a:gd name="connsiteY85" fmla="*/ 552450 h 1049435"/>
                                          <a:gd name="connsiteX86" fmla="*/ 373748 w 2021573"/>
                                          <a:gd name="connsiteY86" fmla="*/ 523875 h 1049435"/>
                                          <a:gd name="connsiteX87" fmla="*/ 335648 w 2021573"/>
                                          <a:gd name="connsiteY87" fmla="*/ 457200 h 1049435"/>
                                          <a:gd name="connsiteX88" fmla="*/ 307073 w 2021573"/>
                                          <a:gd name="connsiteY88" fmla="*/ 447675 h 1049435"/>
                                          <a:gd name="connsiteX89" fmla="*/ 211823 w 2021573"/>
                                          <a:gd name="connsiteY89" fmla="*/ 438150 h 1049435"/>
                                          <a:gd name="connsiteX90" fmla="*/ 183248 w 2021573"/>
                                          <a:gd name="connsiteY90" fmla="*/ 428625 h 1049435"/>
                                          <a:gd name="connsiteX91" fmla="*/ 126098 w 2021573"/>
                                          <a:gd name="connsiteY91" fmla="*/ 400050 h 1049435"/>
                                          <a:gd name="connsiteX92" fmla="*/ 97523 w 2021573"/>
                                          <a:gd name="connsiteY92" fmla="*/ 371475 h 1049435"/>
                                          <a:gd name="connsiteX93" fmla="*/ 2273 w 2021573"/>
                                          <a:gd name="connsiteY93" fmla="*/ 333375 h 1049435"/>
                                          <a:gd name="connsiteX94" fmla="*/ 11798 w 2021573"/>
                                          <a:gd name="connsiteY94" fmla="*/ 295275 h 1049435"/>
                                          <a:gd name="connsiteX95" fmla="*/ 49898 w 2021573"/>
                                          <a:gd name="connsiteY95" fmla="*/ 285750 h 1049435"/>
                                          <a:gd name="connsiteX96" fmla="*/ 21323 w 2021573"/>
                                          <a:gd name="connsiteY96" fmla="*/ 276225 h 1049435"/>
                                          <a:gd name="connsiteX97" fmla="*/ 2273 w 2021573"/>
                                          <a:gd name="connsiteY97" fmla="*/ 276225 h 10494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Lst>
                                        <a:rect l="l" t="t" r="r" b="b"/>
                                        <a:pathLst>
                                          <a:path w="2021573" h="1049435">
                                            <a:moveTo>
                                              <a:pt x="2273" y="276225"/>
                                            </a:moveTo>
                                            <a:cubicBezTo>
                                              <a:pt x="10211" y="274637"/>
                                              <a:pt x="47444" y="273151"/>
                                              <a:pt x="68948" y="266700"/>
                                            </a:cubicBezTo>
                                            <a:cubicBezTo>
                                              <a:pt x="79913" y="263411"/>
                                              <a:pt x="94378" y="258657"/>
                                              <a:pt x="97523" y="247650"/>
                                            </a:cubicBezTo>
                                            <a:cubicBezTo>
                                              <a:pt x="101971" y="232084"/>
                                              <a:pt x="91925" y="215731"/>
                                              <a:pt x="87998" y="200025"/>
                                            </a:cubicBezTo>
                                            <a:cubicBezTo>
                                              <a:pt x="85563" y="190285"/>
                                              <a:pt x="68948" y="174625"/>
                                              <a:pt x="78473" y="171450"/>
                                            </a:cubicBezTo>
                                            <a:cubicBezTo>
                                              <a:pt x="99772" y="164350"/>
                                              <a:pt x="122923" y="177800"/>
                                              <a:pt x="145148" y="180975"/>
                                            </a:cubicBezTo>
                                            <a:cubicBezTo>
                                              <a:pt x="154673" y="187325"/>
                                              <a:pt x="162298" y="199311"/>
                                              <a:pt x="173723" y="200025"/>
                                            </a:cubicBezTo>
                                            <a:cubicBezTo>
                                              <a:pt x="260418" y="205443"/>
                                              <a:pt x="269709" y="199780"/>
                                              <a:pt x="326123" y="180975"/>
                                            </a:cubicBezTo>
                                            <a:cubicBezTo>
                                              <a:pt x="338823" y="171450"/>
                                              <a:pt x="350440" y="160276"/>
                                              <a:pt x="364223" y="152400"/>
                                            </a:cubicBezTo>
                                            <a:cubicBezTo>
                                              <a:pt x="372940" y="147419"/>
                                              <a:pt x="387229" y="151229"/>
                                              <a:pt x="392798" y="142875"/>
                                            </a:cubicBezTo>
                                            <a:cubicBezTo>
                                              <a:pt x="401778" y="129405"/>
                                              <a:pt x="393343" y="108720"/>
                                              <a:pt x="402323" y="95250"/>
                                            </a:cubicBezTo>
                                            <a:cubicBezTo>
                                              <a:pt x="407892" y="86896"/>
                                              <a:pt x="421244" y="88483"/>
                                              <a:pt x="430898" y="85725"/>
                                            </a:cubicBezTo>
                                            <a:cubicBezTo>
                                              <a:pt x="443485" y="82129"/>
                                              <a:pt x="456298" y="79375"/>
                                              <a:pt x="468998" y="76200"/>
                                            </a:cubicBezTo>
                                            <a:cubicBezTo>
                                              <a:pt x="481698" y="57150"/>
                                              <a:pt x="485378" y="26290"/>
                                              <a:pt x="507098" y="19050"/>
                                            </a:cubicBezTo>
                                            <a:lnTo>
                                              <a:pt x="564248" y="0"/>
                                            </a:lnTo>
                                            <a:cubicBezTo>
                                              <a:pt x="573773" y="3175"/>
                                              <a:pt x="584983" y="3253"/>
                                              <a:pt x="592823" y="9525"/>
                                            </a:cubicBezTo>
                                            <a:cubicBezTo>
                                              <a:pt x="617628" y="29369"/>
                                              <a:pt x="602943" y="50006"/>
                                              <a:pt x="640448" y="57150"/>
                                            </a:cubicBezTo>
                                            <a:cubicBezTo>
                                              <a:pt x="696934" y="67909"/>
                                              <a:pt x="811898" y="76200"/>
                                              <a:pt x="811898" y="76200"/>
                                            </a:cubicBezTo>
                                            <a:cubicBezTo>
                                              <a:pt x="821423" y="79375"/>
                                              <a:pt x="830502" y="84552"/>
                                              <a:pt x="840473" y="85725"/>
                                            </a:cubicBezTo>
                                            <a:cubicBezTo>
                                              <a:pt x="884731" y="90932"/>
                                              <a:pt x="932996" y="77388"/>
                                              <a:pt x="973823" y="95250"/>
                                            </a:cubicBezTo>
                                            <a:cubicBezTo>
                                              <a:pt x="992220" y="103299"/>
                                              <a:pt x="980825" y="136336"/>
                                              <a:pt x="992873" y="152400"/>
                                            </a:cubicBezTo>
                                            <a:cubicBezTo>
                                              <a:pt x="1001392" y="163759"/>
                                              <a:pt x="1018273" y="165100"/>
                                              <a:pt x="1030973" y="171450"/>
                                            </a:cubicBezTo>
                                            <a:cubicBezTo>
                                              <a:pt x="1034148" y="180975"/>
                                              <a:pt x="1036008" y="191045"/>
                                              <a:pt x="1040498" y="200025"/>
                                            </a:cubicBezTo>
                                            <a:cubicBezTo>
                                              <a:pt x="1045618" y="210264"/>
                                              <a:pt x="1052219" y="219806"/>
                                              <a:pt x="1059548" y="228600"/>
                                            </a:cubicBezTo>
                                            <a:cubicBezTo>
                                              <a:pt x="1068172" y="238948"/>
                                              <a:pt x="1076915" y="249703"/>
                                              <a:pt x="1088123" y="257175"/>
                                            </a:cubicBezTo>
                                            <a:cubicBezTo>
                                              <a:pt x="1096477" y="262744"/>
                                              <a:pt x="1106775" y="265173"/>
                                              <a:pt x="1116698" y="266700"/>
                                            </a:cubicBezTo>
                                            <a:cubicBezTo>
                                              <a:pt x="1148235" y="271552"/>
                                              <a:pt x="1180198" y="273050"/>
                                              <a:pt x="1211948" y="276225"/>
                                            </a:cubicBezTo>
                                            <a:cubicBezTo>
                                              <a:pt x="1247429" y="329447"/>
                                              <a:pt x="1236079" y="332899"/>
                                              <a:pt x="1288148" y="352425"/>
                                            </a:cubicBezTo>
                                            <a:cubicBezTo>
                                              <a:pt x="1300405" y="357022"/>
                                              <a:pt x="1313548" y="358775"/>
                                              <a:pt x="1326248" y="361950"/>
                                            </a:cubicBezTo>
                                            <a:cubicBezTo>
                                              <a:pt x="1343657" y="466405"/>
                                              <a:pt x="1311878" y="388763"/>
                                              <a:pt x="1421498" y="428625"/>
                                            </a:cubicBezTo>
                                            <a:cubicBezTo>
                                              <a:pt x="1432256" y="432537"/>
                                              <a:pt x="1431609" y="450049"/>
                                              <a:pt x="1440548" y="457200"/>
                                            </a:cubicBezTo>
                                            <a:cubicBezTo>
                                              <a:pt x="1448388" y="463472"/>
                                              <a:pt x="1459598" y="463550"/>
                                              <a:pt x="1469123" y="466725"/>
                                            </a:cubicBezTo>
                                            <a:cubicBezTo>
                                              <a:pt x="1484998" y="463550"/>
                                              <a:pt x="1500779" y="459862"/>
                                              <a:pt x="1516748" y="457200"/>
                                            </a:cubicBezTo>
                                            <a:cubicBezTo>
                                              <a:pt x="1538893" y="453509"/>
                                              <a:pt x="1561408" y="452078"/>
                                              <a:pt x="1583423" y="447675"/>
                                            </a:cubicBezTo>
                                            <a:cubicBezTo>
                                              <a:pt x="1593268" y="445706"/>
                                              <a:pt x="1602473" y="441325"/>
                                              <a:pt x="1611998" y="438150"/>
                                            </a:cubicBezTo>
                                            <a:cubicBezTo>
                                              <a:pt x="1618348" y="447675"/>
                                              <a:pt x="1620419" y="462473"/>
                                              <a:pt x="1631048" y="466725"/>
                                            </a:cubicBezTo>
                                            <a:cubicBezTo>
                                              <a:pt x="1672571" y="483334"/>
                                              <a:pt x="1668309" y="405086"/>
                                              <a:pt x="1669148" y="400050"/>
                                            </a:cubicBezTo>
                                            <a:cubicBezTo>
                                              <a:pt x="1745348" y="406400"/>
                                              <a:pt x="1855333" y="355478"/>
                                              <a:pt x="1897748" y="419100"/>
                                            </a:cubicBezTo>
                                            <a:cubicBezTo>
                                              <a:pt x="1910448" y="438150"/>
                                              <a:pt x="1928608" y="454530"/>
                                              <a:pt x="1935848" y="476250"/>
                                            </a:cubicBezTo>
                                            <a:cubicBezTo>
                                              <a:pt x="1939023" y="485775"/>
                                              <a:pt x="1938945" y="497112"/>
                                              <a:pt x="1945373" y="504825"/>
                                            </a:cubicBezTo>
                                            <a:cubicBezTo>
                                              <a:pt x="1955536" y="517021"/>
                                              <a:pt x="1970773" y="523875"/>
                                              <a:pt x="1983473" y="533400"/>
                                            </a:cubicBezTo>
                                            <a:cubicBezTo>
                                              <a:pt x="1986648" y="542925"/>
                                              <a:pt x="1989043" y="552747"/>
                                              <a:pt x="1992998" y="561975"/>
                                            </a:cubicBezTo>
                                            <a:cubicBezTo>
                                              <a:pt x="1998591" y="575026"/>
                                              <a:pt x="2007062" y="586780"/>
                                              <a:pt x="2012048" y="600075"/>
                                            </a:cubicBezTo>
                                            <a:cubicBezTo>
                                              <a:pt x="2016645" y="612332"/>
                                              <a:pt x="2018398" y="625475"/>
                                              <a:pt x="2021573" y="638175"/>
                                            </a:cubicBezTo>
                                            <a:cubicBezTo>
                                              <a:pt x="2012048" y="641350"/>
                                              <a:pt x="2002652" y="644942"/>
                                              <a:pt x="1992998" y="647700"/>
                                            </a:cubicBezTo>
                                            <a:cubicBezTo>
                                              <a:pt x="1980411" y="651296"/>
                                              <a:pt x="1963279" y="647168"/>
                                              <a:pt x="1954898" y="657225"/>
                                            </a:cubicBezTo>
                                            <a:cubicBezTo>
                                              <a:pt x="1893007" y="731494"/>
                                              <a:pt x="1991986" y="689312"/>
                                              <a:pt x="1916798" y="714375"/>
                                            </a:cubicBezTo>
                                            <a:cubicBezTo>
                                              <a:pt x="1907273" y="711200"/>
                                              <a:pt x="1897203" y="709340"/>
                                              <a:pt x="1888223" y="704850"/>
                                            </a:cubicBezTo>
                                            <a:cubicBezTo>
                                              <a:pt x="1877984" y="699730"/>
                                              <a:pt x="1871026" y="687064"/>
                                              <a:pt x="1859648" y="685800"/>
                                            </a:cubicBezTo>
                                            <a:cubicBezTo>
                                              <a:pt x="1840453" y="683667"/>
                                              <a:pt x="1821548" y="692150"/>
                                              <a:pt x="1802498" y="695325"/>
                                            </a:cubicBezTo>
                                            <a:cubicBezTo>
                                              <a:pt x="1792973" y="701675"/>
                                              <a:pt x="1784445" y="709866"/>
                                              <a:pt x="1773923" y="714375"/>
                                            </a:cubicBezTo>
                                            <a:cubicBezTo>
                                              <a:pt x="1732282" y="732221"/>
                                              <a:pt x="1736469" y="708159"/>
                                              <a:pt x="1716773" y="752475"/>
                                            </a:cubicBezTo>
                                            <a:cubicBezTo>
                                              <a:pt x="1708618" y="770825"/>
                                              <a:pt x="1697723" y="809625"/>
                                              <a:pt x="1697723" y="809625"/>
                                            </a:cubicBezTo>
                                            <a:cubicBezTo>
                                              <a:pt x="1716773" y="828675"/>
                                              <a:pt x="1761407" y="840639"/>
                                              <a:pt x="1754873" y="866775"/>
                                            </a:cubicBezTo>
                                            <a:cubicBezTo>
                                              <a:pt x="1751698" y="879475"/>
                                              <a:pt x="1749945" y="892618"/>
                                              <a:pt x="1745348" y="904875"/>
                                            </a:cubicBezTo>
                                            <a:cubicBezTo>
                                              <a:pt x="1740362" y="918170"/>
                                              <a:pt x="1731891" y="929924"/>
                                              <a:pt x="1726298" y="942975"/>
                                            </a:cubicBezTo>
                                            <a:cubicBezTo>
                                              <a:pt x="1722343" y="952203"/>
                                              <a:pt x="1719948" y="962025"/>
                                              <a:pt x="1716773" y="971550"/>
                                            </a:cubicBezTo>
                                            <a:cubicBezTo>
                                              <a:pt x="1710423" y="952500"/>
                                              <a:pt x="1713149" y="927255"/>
                                              <a:pt x="1697723" y="914400"/>
                                            </a:cubicBezTo>
                                            <a:cubicBezTo>
                                              <a:pt x="1687666" y="906019"/>
                                              <a:pt x="1666561" y="912824"/>
                                              <a:pt x="1659623" y="923925"/>
                                            </a:cubicBezTo>
                                            <a:cubicBezTo>
                                              <a:pt x="1602018" y="1016093"/>
                                              <a:pt x="1692263" y="976545"/>
                                              <a:pt x="1621523" y="1000125"/>
                                            </a:cubicBezTo>
                                            <a:cubicBezTo>
                                              <a:pt x="1624698" y="1012825"/>
                                              <a:pt x="1635910" y="1026070"/>
                                              <a:pt x="1631048" y="1038225"/>
                                            </a:cubicBezTo>
                                            <a:cubicBezTo>
                                              <a:pt x="1619437" y="1067253"/>
                                              <a:pt x="1568413" y="1031009"/>
                                              <a:pt x="1564373" y="1028700"/>
                                            </a:cubicBezTo>
                                            <a:cubicBezTo>
                                              <a:pt x="1554434" y="1023020"/>
                                              <a:pt x="1546259" y="1014299"/>
                                              <a:pt x="1535798" y="1009650"/>
                                            </a:cubicBezTo>
                                            <a:cubicBezTo>
                                              <a:pt x="1517448" y="1001495"/>
                                              <a:pt x="1497698" y="996950"/>
                                              <a:pt x="1478648" y="990600"/>
                                            </a:cubicBezTo>
                                            <a:cubicBezTo>
                                              <a:pt x="1469123" y="987425"/>
                                              <a:pt x="1458427" y="986644"/>
                                              <a:pt x="1450073" y="981075"/>
                                            </a:cubicBezTo>
                                            <a:cubicBezTo>
                                              <a:pt x="1413144" y="956456"/>
                                              <a:pt x="1432358" y="965645"/>
                                              <a:pt x="1392923" y="952500"/>
                                            </a:cubicBezTo>
                                            <a:cubicBezTo>
                                              <a:pt x="1389748" y="939800"/>
                                              <a:pt x="1383398" y="927491"/>
                                              <a:pt x="1383398" y="914400"/>
                                            </a:cubicBezTo>
                                            <a:cubicBezTo>
                                              <a:pt x="1383398" y="871567"/>
                                              <a:pt x="1406926" y="850799"/>
                                              <a:pt x="1383398" y="809625"/>
                                            </a:cubicBezTo>
                                            <a:cubicBezTo>
                                              <a:pt x="1377718" y="799686"/>
                                              <a:pt x="1365683" y="794195"/>
                                              <a:pt x="1354823" y="790575"/>
                                            </a:cubicBezTo>
                                            <a:cubicBezTo>
                                              <a:pt x="1336501" y="784468"/>
                                              <a:pt x="1316723" y="784225"/>
                                              <a:pt x="1297673" y="781050"/>
                                            </a:cubicBezTo>
                                            <a:cubicBezTo>
                                              <a:pt x="1278729" y="768421"/>
                                              <a:pt x="1264184" y="747864"/>
                                              <a:pt x="1240523" y="771525"/>
                                            </a:cubicBezTo>
                                            <a:cubicBezTo>
                                              <a:pt x="1233423" y="778625"/>
                                              <a:pt x="1234173" y="790575"/>
                                              <a:pt x="1230998" y="800100"/>
                                            </a:cubicBezTo>
                                            <a:cubicBezTo>
                                              <a:pt x="1234173" y="812800"/>
                                              <a:pt x="1240523" y="825109"/>
                                              <a:pt x="1240523" y="838200"/>
                                            </a:cubicBezTo>
                                            <a:cubicBezTo>
                                              <a:pt x="1240523" y="911961"/>
                                              <a:pt x="1195733" y="873094"/>
                                              <a:pt x="1126223" y="866775"/>
                                            </a:cubicBezTo>
                                            <a:cubicBezTo>
                                              <a:pt x="1119873" y="857250"/>
                                              <a:pt x="1112293" y="848439"/>
                                              <a:pt x="1107173" y="838200"/>
                                            </a:cubicBezTo>
                                            <a:cubicBezTo>
                                              <a:pt x="1091679" y="807212"/>
                                              <a:pt x="1105895" y="808347"/>
                                              <a:pt x="1078598" y="781050"/>
                                            </a:cubicBezTo>
                                            <a:cubicBezTo>
                                              <a:pt x="1051662" y="754114"/>
                                              <a:pt x="1039880" y="762697"/>
                                              <a:pt x="1002398" y="752475"/>
                                            </a:cubicBezTo>
                                            <a:cubicBezTo>
                                              <a:pt x="983025" y="747191"/>
                                              <a:pt x="964298" y="739775"/>
                                              <a:pt x="945248" y="733425"/>
                                            </a:cubicBezTo>
                                            <a:cubicBezTo>
                                              <a:pt x="935723" y="730250"/>
                                              <a:pt x="926652" y="725009"/>
                                              <a:pt x="916673" y="723900"/>
                                            </a:cubicBezTo>
                                            <a:lnTo>
                                              <a:pt x="830948" y="714375"/>
                                            </a:lnTo>
                                            <a:cubicBezTo>
                                              <a:pt x="811898" y="701675"/>
                                              <a:pt x="795518" y="683515"/>
                                              <a:pt x="773798" y="676275"/>
                                            </a:cubicBezTo>
                                            <a:cubicBezTo>
                                              <a:pt x="698326" y="651118"/>
                                              <a:pt x="736455" y="660526"/>
                                              <a:pt x="659498" y="647700"/>
                                            </a:cubicBezTo>
                                            <a:cubicBezTo>
                                              <a:pt x="653148" y="638175"/>
                                              <a:pt x="648543" y="627220"/>
                                              <a:pt x="640448" y="619125"/>
                                            </a:cubicBezTo>
                                            <a:cubicBezTo>
                                              <a:pt x="613151" y="591828"/>
                                              <a:pt x="614286" y="606044"/>
                                              <a:pt x="583298" y="590550"/>
                                            </a:cubicBezTo>
                                            <a:cubicBezTo>
                                              <a:pt x="573059" y="585430"/>
                                              <a:pt x="564962" y="576620"/>
                                              <a:pt x="554723" y="571500"/>
                                            </a:cubicBezTo>
                                            <a:cubicBezTo>
                                              <a:pt x="513603" y="550940"/>
                                              <a:pt x="425957" y="554268"/>
                                              <a:pt x="402323" y="552450"/>
                                            </a:cubicBezTo>
                                            <a:cubicBezTo>
                                              <a:pt x="392798" y="542925"/>
                                              <a:pt x="381578" y="534836"/>
                                              <a:pt x="373748" y="523875"/>
                                            </a:cubicBezTo>
                                            <a:cubicBezTo>
                                              <a:pt x="364373" y="510750"/>
                                              <a:pt x="350646" y="469199"/>
                                              <a:pt x="335648" y="457200"/>
                                            </a:cubicBezTo>
                                            <a:cubicBezTo>
                                              <a:pt x="327808" y="450928"/>
                                              <a:pt x="316996" y="449202"/>
                                              <a:pt x="307073" y="447675"/>
                                            </a:cubicBezTo>
                                            <a:cubicBezTo>
                                              <a:pt x="275536" y="442823"/>
                                              <a:pt x="243573" y="441325"/>
                                              <a:pt x="211823" y="438150"/>
                                            </a:cubicBezTo>
                                            <a:cubicBezTo>
                                              <a:pt x="202298" y="434975"/>
                                              <a:pt x="192228" y="433115"/>
                                              <a:pt x="183248" y="428625"/>
                                            </a:cubicBezTo>
                                            <a:cubicBezTo>
                                              <a:pt x="109390" y="391696"/>
                                              <a:pt x="197922" y="423991"/>
                                              <a:pt x="126098" y="400050"/>
                                            </a:cubicBezTo>
                                            <a:cubicBezTo>
                                              <a:pt x="116573" y="390525"/>
                                              <a:pt x="110302" y="375735"/>
                                              <a:pt x="97523" y="371475"/>
                                            </a:cubicBezTo>
                                            <a:cubicBezTo>
                                              <a:pt x="-6156" y="336915"/>
                                              <a:pt x="23675" y="397581"/>
                                              <a:pt x="2273" y="333375"/>
                                            </a:cubicBezTo>
                                            <a:cubicBezTo>
                                              <a:pt x="5448" y="320675"/>
                                              <a:pt x="2541" y="304532"/>
                                              <a:pt x="11798" y="295275"/>
                                            </a:cubicBezTo>
                                            <a:cubicBezTo>
                                              <a:pt x="21055" y="286018"/>
                                              <a:pt x="44044" y="297459"/>
                                              <a:pt x="49898" y="285750"/>
                                            </a:cubicBezTo>
                                            <a:cubicBezTo>
                                              <a:pt x="54388" y="276770"/>
                                              <a:pt x="31262" y="277645"/>
                                              <a:pt x="21323" y="276225"/>
                                            </a:cubicBezTo>
                                            <a:cubicBezTo>
                                              <a:pt x="8751" y="274429"/>
                                              <a:pt x="-5665" y="277813"/>
                                              <a:pt x="2273" y="276225"/>
                                            </a:cubicBezTo>
                                            <a:close/>
                                          </a:path>
                                        </a:pathLst>
                                      </a:custGeom>
                                      <a:solidFill>
                                        <a:schemeClr val="accent3">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ES" sz="1100" b="1"/>
                                      </a:p>
                                      <a:p>
                                        <a:pPr algn="ctr"/>
                                        <a:endParaRPr lang="es-ES" sz="1100" b="1"/>
                                      </a:p>
                                      <a:p>
                                        <a:pPr algn="ctr"/>
                                        <a:r>
                                          <a:rPr lang="es-ES" sz="1100" b="1"/>
                                          <a:t>Puerto Plata</a:t>
                                        </a:r>
                                      </a:p>
                                      <a:p>
                                        <a:pPr algn="ctr"/>
                                        <a:r>
                                          <a:rPr lang="es-ES" sz="1100" b="1"/>
                                          <a:t>71,252</a:t>
                                        </a:r>
                                      </a:p>
                                      <a:p>
                                        <a:pPr algn="ctr"/>
                                        <a:r>
                                          <a:rPr lang="es-ES" sz="1100" b="1"/>
                                          <a:t>2.5%</a:t>
                                        </a:r>
                                      </a:p>
                                    </xdr:txBody>
                                  </xdr:sp>
                                  <xdr:sp macro="" textlink="">
                                    <xdr:nvSpPr>
                                      <xdr:cNvPr id="47" name="Forma libre 46"/>
                                      <xdr:cNvSpPr/>
                                    </xdr:nvSpPr>
                                    <xdr:spPr>
                                      <a:xfrm>
                                        <a:off x="1943099" y="438150"/>
                                        <a:ext cx="809625" cy="828675"/>
                                      </a:xfrm>
                                      <a:custGeom>
                                        <a:avLst/>
                                        <a:gdLst>
                                          <a:gd name="connsiteX0" fmla="*/ 590550 w 737224"/>
                                          <a:gd name="connsiteY0" fmla="*/ 428625 h 819150"/>
                                          <a:gd name="connsiteX1" fmla="*/ 647700 w 737224"/>
                                          <a:gd name="connsiteY1" fmla="*/ 457200 h 819150"/>
                                          <a:gd name="connsiteX2" fmla="*/ 704850 w 737224"/>
                                          <a:gd name="connsiteY2" fmla="*/ 485775 h 819150"/>
                                          <a:gd name="connsiteX3" fmla="*/ 714375 w 737224"/>
                                          <a:gd name="connsiteY3" fmla="*/ 457200 h 819150"/>
                                          <a:gd name="connsiteX4" fmla="*/ 723900 w 737224"/>
                                          <a:gd name="connsiteY4" fmla="*/ 361950 h 819150"/>
                                          <a:gd name="connsiteX5" fmla="*/ 695325 w 737224"/>
                                          <a:gd name="connsiteY5" fmla="*/ 352425 h 819150"/>
                                          <a:gd name="connsiteX6" fmla="*/ 685800 w 737224"/>
                                          <a:gd name="connsiteY6" fmla="*/ 314325 h 819150"/>
                                          <a:gd name="connsiteX7" fmla="*/ 685800 w 737224"/>
                                          <a:gd name="connsiteY7" fmla="*/ 257175 h 819150"/>
                                          <a:gd name="connsiteX8" fmla="*/ 590550 w 737224"/>
                                          <a:gd name="connsiteY8" fmla="*/ 247650 h 819150"/>
                                          <a:gd name="connsiteX9" fmla="*/ 581025 w 737224"/>
                                          <a:gd name="connsiteY9" fmla="*/ 219075 h 819150"/>
                                          <a:gd name="connsiteX10" fmla="*/ 457200 w 737224"/>
                                          <a:gd name="connsiteY10" fmla="*/ 190500 h 819150"/>
                                          <a:gd name="connsiteX11" fmla="*/ 438150 w 737224"/>
                                          <a:gd name="connsiteY11" fmla="*/ 161925 h 819150"/>
                                          <a:gd name="connsiteX12" fmla="*/ 257175 w 737224"/>
                                          <a:gd name="connsiteY12" fmla="*/ 114300 h 819150"/>
                                          <a:gd name="connsiteX13" fmla="*/ 247650 w 737224"/>
                                          <a:gd name="connsiteY13" fmla="*/ 85725 h 819150"/>
                                          <a:gd name="connsiteX14" fmla="*/ 180975 w 737224"/>
                                          <a:gd name="connsiteY14" fmla="*/ 9525 h 819150"/>
                                          <a:gd name="connsiteX15" fmla="*/ 152400 w 737224"/>
                                          <a:gd name="connsiteY15" fmla="*/ 0 h 819150"/>
                                          <a:gd name="connsiteX16" fmla="*/ 104775 w 737224"/>
                                          <a:gd name="connsiteY16" fmla="*/ 38100 h 819150"/>
                                          <a:gd name="connsiteX17" fmla="*/ 66675 w 737224"/>
                                          <a:gd name="connsiteY17" fmla="*/ 95250 h 819150"/>
                                          <a:gd name="connsiteX18" fmla="*/ 76200 w 737224"/>
                                          <a:gd name="connsiteY18" fmla="*/ 123825 h 819150"/>
                                          <a:gd name="connsiteX19" fmla="*/ 47625 w 737224"/>
                                          <a:gd name="connsiteY19" fmla="*/ 219075 h 819150"/>
                                          <a:gd name="connsiteX20" fmla="*/ 76200 w 737224"/>
                                          <a:gd name="connsiteY20" fmla="*/ 276225 h 819150"/>
                                          <a:gd name="connsiteX21" fmla="*/ 66675 w 737224"/>
                                          <a:gd name="connsiteY21" fmla="*/ 304800 h 819150"/>
                                          <a:gd name="connsiteX22" fmla="*/ 0 w 737224"/>
                                          <a:gd name="connsiteY22" fmla="*/ 323850 h 819150"/>
                                          <a:gd name="connsiteX23" fmla="*/ 19050 w 737224"/>
                                          <a:gd name="connsiteY23" fmla="*/ 361950 h 819150"/>
                                          <a:gd name="connsiteX24" fmla="*/ 57150 w 737224"/>
                                          <a:gd name="connsiteY24" fmla="*/ 409575 h 819150"/>
                                          <a:gd name="connsiteX25" fmla="*/ 38100 w 737224"/>
                                          <a:gd name="connsiteY25" fmla="*/ 438150 h 819150"/>
                                          <a:gd name="connsiteX26" fmla="*/ 9525 w 737224"/>
                                          <a:gd name="connsiteY26" fmla="*/ 466725 h 819150"/>
                                          <a:gd name="connsiteX27" fmla="*/ 0 w 737224"/>
                                          <a:gd name="connsiteY27" fmla="*/ 495300 h 819150"/>
                                          <a:gd name="connsiteX28" fmla="*/ 9525 w 737224"/>
                                          <a:gd name="connsiteY28" fmla="*/ 571500 h 819150"/>
                                          <a:gd name="connsiteX29" fmla="*/ 28575 w 737224"/>
                                          <a:gd name="connsiteY29" fmla="*/ 600075 h 819150"/>
                                          <a:gd name="connsiteX30" fmla="*/ 0 w 737224"/>
                                          <a:gd name="connsiteY30" fmla="*/ 657225 h 819150"/>
                                          <a:gd name="connsiteX31" fmla="*/ 85725 w 737224"/>
                                          <a:gd name="connsiteY31" fmla="*/ 685800 h 819150"/>
                                          <a:gd name="connsiteX32" fmla="*/ 142875 w 737224"/>
                                          <a:gd name="connsiteY32" fmla="*/ 704850 h 819150"/>
                                          <a:gd name="connsiteX33" fmla="*/ 171450 w 737224"/>
                                          <a:gd name="connsiteY33" fmla="*/ 714375 h 819150"/>
                                          <a:gd name="connsiteX34" fmla="*/ 200025 w 737224"/>
                                          <a:gd name="connsiteY34" fmla="*/ 733425 h 819150"/>
                                          <a:gd name="connsiteX35" fmla="*/ 238125 w 737224"/>
                                          <a:gd name="connsiteY35" fmla="*/ 714375 h 819150"/>
                                          <a:gd name="connsiteX36" fmla="*/ 304800 w 737224"/>
                                          <a:gd name="connsiteY36" fmla="*/ 742950 h 819150"/>
                                          <a:gd name="connsiteX37" fmla="*/ 352425 w 737224"/>
                                          <a:gd name="connsiteY37" fmla="*/ 790575 h 819150"/>
                                          <a:gd name="connsiteX38" fmla="*/ 400050 w 737224"/>
                                          <a:gd name="connsiteY38" fmla="*/ 771525 h 819150"/>
                                          <a:gd name="connsiteX39" fmla="*/ 428625 w 737224"/>
                                          <a:gd name="connsiteY39" fmla="*/ 762000 h 819150"/>
                                          <a:gd name="connsiteX40" fmla="*/ 476250 w 737224"/>
                                          <a:gd name="connsiteY40" fmla="*/ 819150 h 819150"/>
                                          <a:gd name="connsiteX41" fmla="*/ 504825 w 737224"/>
                                          <a:gd name="connsiteY41" fmla="*/ 762000 h 819150"/>
                                          <a:gd name="connsiteX42" fmla="*/ 581025 w 737224"/>
                                          <a:gd name="connsiteY42" fmla="*/ 771525 h 819150"/>
                                          <a:gd name="connsiteX43" fmla="*/ 600075 w 737224"/>
                                          <a:gd name="connsiteY43" fmla="*/ 800100 h 819150"/>
                                          <a:gd name="connsiteX44" fmla="*/ 628650 w 737224"/>
                                          <a:gd name="connsiteY44" fmla="*/ 819150 h 819150"/>
                                          <a:gd name="connsiteX45" fmla="*/ 695325 w 737224"/>
                                          <a:gd name="connsiteY45" fmla="*/ 771525 h 819150"/>
                                          <a:gd name="connsiteX46" fmla="*/ 704850 w 737224"/>
                                          <a:gd name="connsiteY46" fmla="*/ 742950 h 819150"/>
                                          <a:gd name="connsiteX47" fmla="*/ 647700 w 737224"/>
                                          <a:gd name="connsiteY47" fmla="*/ 714375 h 819150"/>
                                          <a:gd name="connsiteX48" fmla="*/ 676275 w 737224"/>
                                          <a:gd name="connsiteY48" fmla="*/ 609600 h 819150"/>
                                          <a:gd name="connsiteX49" fmla="*/ 685800 w 737224"/>
                                          <a:gd name="connsiteY49" fmla="*/ 581025 h 819150"/>
                                          <a:gd name="connsiteX50" fmla="*/ 676275 w 737224"/>
                                          <a:gd name="connsiteY50" fmla="*/ 552450 h 819150"/>
                                          <a:gd name="connsiteX51" fmla="*/ 647700 w 737224"/>
                                          <a:gd name="connsiteY51" fmla="*/ 542925 h 819150"/>
                                          <a:gd name="connsiteX52" fmla="*/ 600075 w 737224"/>
                                          <a:gd name="connsiteY52" fmla="*/ 533400 h 819150"/>
                                          <a:gd name="connsiteX53" fmla="*/ 590550 w 737224"/>
                                          <a:gd name="connsiteY53" fmla="*/ 428625 h 819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Lst>
                                        <a:rect l="l" t="t" r="r" b="b"/>
                                        <a:pathLst>
                                          <a:path w="737224" h="819150">
                                            <a:moveTo>
                                              <a:pt x="590550" y="428625"/>
                                            </a:moveTo>
                                            <a:cubicBezTo>
                                              <a:pt x="598487" y="415925"/>
                                              <a:pt x="629082" y="446857"/>
                                              <a:pt x="647700" y="457200"/>
                                            </a:cubicBezTo>
                                            <a:cubicBezTo>
                                              <a:pt x="703093" y="487974"/>
                                              <a:pt x="649220" y="467232"/>
                                              <a:pt x="704850" y="485775"/>
                                            </a:cubicBezTo>
                                            <a:cubicBezTo>
                                              <a:pt x="708025" y="476250"/>
                                              <a:pt x="710420" y="466428"/>
                                              <a:pt x="714375" y="457200"/>
                                            </a:cubicBezTo>
                                            <a:cubicBezTo>
                                              <a:pt x="730727" y="419046"/>
                                              <a:pt x="751177" y="409684"/>
                                              <a:pt x="723900" y="361950"/>
                                            </a:cubicBezTo>
                                            <a:cubicBezTo>
                                              <a:pt x="718919" y="353233"/>
                                              <a:pt x="704850" y="355600"/>
                                              <a:pt x="695325" y="352425"/>
                                            </a:cubicBezTo>
                                            <a:cubicBezTo>
                                              <a:pt x="692150" y="339725"/>
                                              <a:pt x="685800" y="327416"/>
                                              <a:pt x="685800" y="314325"/>
                                            </a:cubicBezTo>
                                            <a:cubicBezTo>
                                              <a:pt x="685800" y="305089"/>
                                              <a:pt x="711200" y="266411"/>
                                              <a:pt x="685800" y="257175"/>
                                            </a:cubicBezTo>
                                            <a:cubicBezTo>
                                              <a:pt x="655813" y="246271"/>
                                              <a:pt x="622300" y="250825"/>
                                              <a:pt x="590550" y="247650"/>
                                            </a:cubicBezTo>
                                            <a:cubicBezTo>
                                              <a:pt x="587375" y="238125"/>
                                              <a:pt x="587297" y="226915"/>
                                              <a:pt x="581025" y="219075"/>
                                            </a:cubicBezTo>
                                            <a:cubicBezTo>
                                              <a:pt x="553862" y="185122"/>
                                              <a:pt x="485902" y="193370"/>
                                              <a:pt x="457200" y="190500"/>
                                            </a:cubicBezTo>
                                            <a:cubicBezTo>
                                              <a:pt x="450850" y="180975"/>
                                              <a:pt x="443830" y="171864"/>
                                              <a:pt x="438150" y="161925"/>
                                            </a:cubicBezTo>
                                            <a:cubicBezTo>
                                              <a:pt x="388529" y="75089"/>
                                              <a:pt x="457609" y="126090"/>
                                              <a:pt x="257175" y="114300"/>
                                            </a:cubicBezTo>
                                            <a:cubicBezTo>
                                              <a:pt x="254000" y="104775"/>
                                              <a:pt x="252526" y="94502"/>
                                              <a:pt x="247650" y="85725"/>
                                            </a:cubicBezTo>
                                            <a:cubicBezTo>
                                              <a:pt x="225669" y="46160"/>
                                              <a:pt x="217365" y="27720"/>
                                              <a:pt x="180975" y="9525"/>
                                            </a:cubicBezTo>
                                            <a:cubicBezTo>
                                              <a:pt x="171995" y="5035"/>
                                              <a:pt x="161925" y="3175"/>
                                              <a:pt x="152400" y="0"/>
                                            </a:cubicBezTo>
                                            <a:cubicBezTo>
                                              <a:pt x="90766" y="15408"/>
                                              <a:pt x="129019" y="-5539"/>
                                              <a:pt x="104775" y="38100"/>
                                            </a:cubicBezTo>
                                            <a:cubicBezTo>
                                              <a:pt x="93656" y="58114"/>
                                              <a:pt x="66675" y="95250"/>
                                              <a:pt x="66675" y="95250"/>
                                            </a:cubicBezTo>
                                            <a:cubicBezTo>
                                              <a:pt x="69850" y="104775"/>
                                              <a:pt x="76200" y="113785"/>
                                              <a:pt x="76200" y="123825"/>
                                            </a:cubicBezTo>
                                            <a:cubicBezTo>
                                              <a:pt x="76200" y="185117"/>
                                              <a:pt x="73446" y="180343"/>
                                              <a:pt x="47625" y="219075"/>
                                            </a:cubicBezTo>
                                            <a:cubicBezTo>
                                              <a:pt x="57257" y="233522"/>
                                              <a:pt x="76200" y="256507"/>
                                              <a:pt x="76200" y="276225"/>
                                            </a:cubicBezTo>
                                            <a:cubicBezTo>
                                              <a:pt x="76200" y="286265"/>
                                              <a:pt x="73775" y="297700"/>
                                              <a:pt x="66675" y="304800"/>
                                            </a:cubicBezTo>
                                            <a:cubicBezTo>
                                              <a:pt x="62120" y="309355"/>
                                              <a:pt x="330" y="323768"/>
                                              <a:pt x="0" y="323850"/>
                                            </a:cubicBezTo>
                                            <a:cubicBezTo>
                                              <a:pt x="6350" y="336550"/>
                                              <a:pt x="9960" y="351042"/>
                                              <a:pt x="19050" y="361950"/>
                                            </a:cubicBezTo>
                                            <a:cubicBezTo>
                                              <a:pt x="66921" y="419395"/>
                                              <a:pt x="34408" y="341350"/>
                                              <a:pt x="57150" y="409575"/>
                                            </a:cubicBezTo>
                                            <a:cubicBezTo>
                                              <a:pt x="50800" y="419100"/>
                                              <a:pt x="45429" y="429356"/>
                                              <a:pt x="38100" y="438150"/>
                                            </a:cubicBezTo>
                                            <a:cubicBezTo>
                                              <a:pt x="29476" y="448498"/>
                                              <a:pt x="16997" y="455517"/>
                                              <a:pt x="9525" y="466725"/>
                                            </a:cubicBezTo>
                                            <a:cubicBezTo>
                                              <a:pt x="3956" y="475079"/>
                                              <a:pt x="3175" y="485775"/>
                                              <a:pt x="0" y="495300"/>
                                            </a:cubicBezTo>
                                            <a:cubicBezTo>
                                              <a:pt x="3175" y="520700"/>
                                              <a:pt x="2790" y="546804"/>
                                              <a:pt x="9525" y="571500"/>
                                            </a:cubicBezTo>
                                            <a:cubicBezTo>
                                              <a:pt x="12537" y="582544"/>
                                              <a:pt x="26693" y="588783"/>
                                              <a:pt x="28575" y="600075"/>
                                            </a:cubicBezTo>
                                            <a:cubicBezTo>
                                              <a:pt x="31204" y="615849"/>
                                              <a:pt x="6634" y="647274"/>
                                              <a:pt x="0" y="657225"/>
                                            </a:cubicBezTo>
                                            <a:cubicBezTo>
                                              <a:pt x="52758" y="692397"/>
                                              <a:pt x="3595" y="665267"/>
                                              <a:pt x="85725" y="685800"/>
                                            </a:cubicBezTo>
                                            <a:cubicBezTo>
                                              <a:pt x="105206" y="690670"/>
                                              <a:pt x="123825" y="698500"/>
                                              <a:pt x="142875" y="704850"/>
                                            </a:cubicBezTo>
                                            <a:cubicBezTo>
                                              <a:pt x="152400" y="708025"/>
                                              <a:pt x="163096" y="708806"/>
                                              <a:pt x="171450" y="714375"/>
                                            </a:cubicBezTo>
                                            <a:lnTo>
                                              <a:pt x="200025" y="733425"/>
                                            </a:lnTo>
                                            <a:cubicBezTo>
                                              <a:pt x="212725" y="727075"/>
                                              <a:pt x="224036" y="716136"/>
                                              <a:pt x="238125" y="714375"/>
                                            </a:cubicBezTo>
                                            <a:cubicBezTo>
                                              <a:pt x="264023" y="711138"/>
                                              <a:pt x="285715" y="730227"/>
                                              <a:pt x="304800" y="742950"/>
                                            </a:cubicBezTo>
                                            <a:cubicBezTo>
                                              <a:pt x="313267" y="755650"/>
                                              <a:pt x="331258" y="790575"/>
                                              <a:pt x="352425" y="790575"/>
                                            </a:cubicBezTo>
                                            <a:cubicBezTo>
                                              <a:pt x="369523" y="790575"/>
                                              <a:pt x="384041" y="777528"/>
                                              <a:pt x="400050" y="771525"/>
                                            </a:cubicBezTo>
                                            <a:cubicBezTo>
                                              <a:pt x="409451" y="768000"/>
                                              <a:pt x="419100" y="765175"/>
                                              <a:pt x="428625" y="762000"/>
                                            </a:cubicBezTo>
                                            <a:cubicBezTo>
                                              <a:pt x="434372" y="770620"/>
                                              <a:pt x="464027" y="819150"/>
                                              <a:pt x="476250" y="819150"/>
                                            </a:cubicBezTo>
                                            <a:cubicBezTo>
                                              <a:pt x="488560" y="819150"/>
                                              <a:pt x="502476" y="769046"/>
                                              <a:pt x="504825" y="762000"/>
                                            </a:cubicBezTo>
                                            <a:cubicBezTo>
                                              <a:pt x="530225" y="765175"/>
                                              <a:pt x="557258" y="762018"/>
                                              <a:pt x="581025" y="771525"/>
                                            </a:cubicBezTo>
                                            <a:cubicBezTo>
                                              <a:pt x="591654" y="775777"/>
                                              <a:pt x="591980" y="792005"/>
                                              <a:pt x="600075" y="800100"/>
                                            </a:cubicBezTo>
                                            <a:cubicBezTo>
                                              <a:pt x="608170" y="808195"/>
                                              <a:pt x="619125" y="812800"/>
                                              <a:pt x="628650" y="819150"/>
                                            </a:cubicBezTo>
                                            <a:cubicBezTo>
                                              <a:pt x="658446" y="804252"/>
                                              <a:pt x="676017" y="800486"/>
                                              <a:pt x="695325" y="771525"/>
                                            </a:cubicBezTo>
                                            <a:cubicBezTo>
                                              <a:pt x="700894" y="763171"/>
                                              <a:pt x="701675" y="752475"/>
                                              <a:pt x="704850" y="742950"/>
                                            </a:cubicBezTo>
                                            <a:cubicBezTo>
                                              <a:pt x="694394" y="739465"/>
                                              <a:pt x="651587" y="727980"/>
                                              <a:pt x="647700" y="714375"/>
                                            </a:cubicBezTo>
                                            <a:cubicBezTo>
                                              <a:pt x="643558" y="699876"/>
                                              <a:pt x="673943" y="616597"/>
                                              <a:pt x="676275" y="609600"/>
                                            </a:cubicBezTo>
                                            <a:lnTo>
                                              <a:pt x="685800" y="581025"/>
                                            </a:lnTo>
                                            <a:cubicBezTo>
                                              <a:pt x="682625" y="571500"/>
                                              <a:pt x="683375" y="559550"/>
                                              <a:pt x="676275" y="552450"/>
                                            </a:cubicBezTo>
                                            <a:cubicBezTo>
                                              <a:pt x="669175" y="545350"/>
                                              <a:pt x="657440" y="545360"/>
                                              <a:pt x="647700" y="542925"/>
                                            </a:cubicBezTo>
                                            <a:cubicBezTo>
                                              <a:pt x="631994" y="538998"/>
                                              <a:pt x="615950" y="536575"/>
                                              <a:pt x="600075" y="533400"/>
                                            </a:cubicBezTo>
                                            <a:cubicBezTo>
                                              <a:pt x="610049" y="463582"/>
                                              <a:pt x="582613" y="441325"/>
                                              <a:pt x="590550" y="428625"/>
                                            </a:cubicBezTo>
                                            <a:close/>
                                          </a:path>
                                        </a:pathLst>
                                      </a:cu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a:solidFill>
                                              <a:schemeClr val="bg1"/>
                                            </a:solidFill>
                                          </a:rPr>
                                          <a:t>Valverde</a:t>
                                        </a:r>
                                      </a:p>
                                      <a:p>
                                        <a:pPr algn="ctr"/>
                                        <a:r>
                                          <a:rPr lang="es-ES" sz="1100" b="1">
                                            <a:solidFill>
                                              <a:schemeClr val="bg1"/>
                                            </a:solidFill>
                                          </a:rPr>
                                          <a:t>35,173</a:t>
                                        </a:r>
                                      </a:p>
                                      <a:p>
                                        <a:pPr algn="ctr"/>
                                        <a:r>
                                          <a:rPr lang="es-ES" sz="1100" b="1">
                                            <a:solidFill>
                                              <a:schemeClr val="bg1"/>
                                            </a:solidFill>
                                          </a:rPr>
                                          <a:t>1.2%</a:t>
                                        </a:r>
                                      </a:p>
                                    </xdr:txBody>
                                  </xdr:sp>
                                  <xdr:sp macro="" textlink="">
                                    <xdr:nvSpPr>
                                      <xdr:cNvPr id="48" name="Forma libre 47"/>
                                      <xdr:cNvSpPr/>
                                    </xdr:nvSpPr>
                                    <xdr:spPr>
                                      <a:xfrm>
                                        <a:off x="561975" y="723900"/>
                                        <a:ext cx="942975" cy="1019175"/>
                                      </a:xfrm>
                                      <a:custGeom>
                                        <a:avLst/>
                                        <a:gdLst>
                                          <a:gd name="connsiteX0" fmla="*/ 828675 w 866775"/>
                                          <a:gd name="connsiteY0" fmla="*/ 285750 h 1019175"/>
                                          <a:gd name="connsiteX1" fmla="*/ 819150 w 866775"/>
                                          <a:gd name="connsiteY1" fmla="*/ 238125 h 1019175"/>
                                          <a:gd name="connsiteX2" fmla="*/ 762000 w 866775"/>
                                          <a:gd name="connsiteY2" fmla="*/ 209550 h 1019175"/>
                                          <a:gd name="connsiteX3" fmla="*/ 752475 w 866775"/>
                                          <a:gd name="connsiteY3" fmla="*/ 180975 h 1019175"/>
                                          <a:gd name="connsiteX4" fmla="*/ 723900 w 866775"/>
                                          <a:gd name="connsiteY4" fmla="*/ 171450 h 1019175"/>
                                          <a:gd name="connsiteX5" fmla="*/ 657225 w 866775"/>
                                          <a:gd name="connsiteY5" fmla="*/ 161925 h 1019175"/>
                                          <a:gd name="connsiteX6" fmla="*/ 609600 w 866775"/>
                                          <a:gd name="connsiteY6" fmla="*/ 66675 h 1019175"/>
                                          <a:gd name="connsiteX7" fmla="*/ 581025 w 866775"/>
                                          <a:gd name="connsiteY7" fmla="*/ 57150 h 1019175"/>
                                          <a:gd name="connsiteX8" fmla="*/ 561975 w 866775"/>
                                          <a:gd name="connsiteY8" fmla="*/ 85725 h 1019175"/>
                                          <a:gd name="connsiteX9" fmla="*/ 485775 w 866775"/>
                                          <a:gd name="connsiteY9" fmla="*/ 85725 h 1019175"/>
                                          <a:gd name="connsiteX10" fmla="*/ 457200 w 866775"/>
                                          <a:gd name="connsiteY10" fmla="*/ 66675 h 1019175"/>
                                          <a:gd name="connsiteX11" fmla="*/ 276225 w 866775"/>
                                          <a:gd name="connsiteY11" fmla="*/ 47625 h 1019175"/>
                                          <a:gd name="connsiteX12" fmla="*/ 209550 w 866775"/>
                                          <a:gd name="connsiteY12" fmla="*/ 57150 h 1019175"/>
                                          <a:gd name="connsiteX13" fmla="*/ 171450 w 866775"/>
                                          <a:gd name="connsiteY13" fmla="*/ 0 h 1019175"/>
                                          <a:gd name="connsiteX14" fmla="*/ 85725 w 866775"/>
                                          <a:gd name="connsiteY14" fmla="*/ 38100 h 1019175"/>
                                          <a:gd name="connsiteX15" fmla="*/ 76200 w 866775"/>
                                          <a:gd name="connsiteY15" fmla="*/ 114300 h 1019175"/>
                                          <a:gd name="connsiteX16" fmla="*/ 85725 w 866775"/>
                                          <a:gd name="connsiteY16" fmla="*/ 161925 h 1019175"/>
                                          <a:gd name="connsiteX17" fmla="*/ 209550 w 866775"/>
                                          <a:gd name="connsiteY17" fmla="*/ 190500 h 1019175"/>
                                          <a:gd name="connsiteX18" fmla="*/ 200025 w 866775"/>
                                          <a:gd name="connsiteY18" fmla="*/ 257175 h 1019175"/>
                                          <a:gd name="connsiteX19" fmla="*/ 200025 w 866775"/>
                                          <a:gd name="connsiteY19" fmla="*/ 333375 h 1019175"/>
                                          <a:gd name="connsiteX20" fmla="*/ 219075 w 866775"/>
                                          <a:gd name="connsiteY20" fmla="*/ 361950 h 1019175"/>
                                          <a:gd name="connsiteX21" fmla="*/ 228600 w 866775"/>
                                          <a:gd name="connsiteY21" fmla="*/ 409575 h 1019175"/>
                                          <a:gd name="connsiteX22" fmla="*/ 247650 w 866775"/>
                                          <a:gd name="connsiteY22" fmla="*/ 438150 h 1019175"/>
                                          <a:gd name="connsiteX23" fmla="*/ 228600 w 866775"/>
                                          <a:gd name="connsiteY23" fmla="*/ 523875 h 1019175"/>
                                          <a:gd name="connsiteX24" fmla="*/ 209550 w 866775"/>
                                          <a:gd name="connsiteY24" fmla="*/ 552450 h 1019175"/>
                                          <a:gd name="connsiteX25" fmla="*/ 180975 w 866775"/>
                                          <a:gd name="connsiteY25" fmla="*/ 647700 h 1019175"/>
                                          <a:gd name="connsiteX26" fmla="*/ 171450 w 866775"/>
                                          <a:gd name="connsiteY26" fmla="*/ 685800 h 1019175"/>
                                          <a:gd name="connsiteX27" fmla="*/ 114300 w 866775"/>
                                          <a:gd name="connsiteY27" fmla="*/ 695325 h 1019175"/>
                                          <a:gd name="connsiteX28" fmla="*/ 85725 w 866775"/>
                                          <a:gd name="connsiteY28" fmla="*/ 714375 h 1019175"/>
                                          <a:gd name="connsiteX29" fmla="*/ 0 w 866775"/>
                                          <a:gd name="connsiteY29" fmla="*/ 733425 h 1019175"/>
                                          <a:gd name="connsiteX30" fmla="*/ 28575 w 866775"/>
                                          <a:gd name="connsiteY30" fmla="*/ 790575 h 1019175"/>
                                          <a:gd name="connsiteX31" fmla="*/ 47625 w 866775"/>
                                          <a:gd name="connsiteY31" fmla="*/ 847725 h 1019175"/>
                                          <a:gd name="connsiteX32" fmla="*/ 57150 w 866775"/>
                                          <a:gd name="connsiteY32" fmla="*/ 876300 h 1019175"/>
                                          <a:gd name="connsiteX33" fmla="*/ 95250 w 866775"/>
                                          <a:gd name="connsiteY33" fmla="*/ 885825 h 1019175"/>
                                          <a:gd name="connsiteX34" fmla="*/ 133350 w 866775"/>
                                          <a:gd name="connsiteY34" fmla="*/ 923925 h 1019175"/>
                                          <a:gd name="connsiteX35" fmla="*/ 219075 w 866775"/>
                                          <a:gd name="connsiteY35" fmla="*/ 1000125 h 1019175"/>
                                          <a:gd name="connsiteX36" fmla="*/ 276225 w 866775"/>
                                          <a:gd name="connsiteY36" fmla="*/ 1009650 h 1019175"/>
                                          <a:gd name="connsiteX37" fmla="*/ 304800 w 866775"/>
                                          <a:gd name="connsiteY37" fmla="*/ 1019175 h 1019175"/>
                                          <a:gd name="connsiteX38" fmla="*/ 342900 w 866775"/>
                                          <a:gd name="connsiteY38" fmla="*/ 1009650 h 1019175"/>
                                          <a:gd name="connsiteX39" fmla="*/ 381000 w 866775"/>
                                          <a:gd name="connsiteY39" fmla="*/ 952500 h 1019175"/>
                                          <a:gd name="connsiteX40" fmla="*/ 457200 w 866775"/>
                                          <a:gd name="connsiteY40" fmla="*/ 942975 h 1019175"/>
                                          <a:gd name="connsiteX41" fmla="*/ 466725 w 866775"/>
                                          <a:gd name="connsiteY41" fmla="*/ 876300 h 1019175"/>
                                          <a:gd name="connsiteX42" fmla="*/ 495300 w 866775"/>
                                          <a:gd name="connsiteY42" fmla="*/ 866775 h 1019175"/>
                                          <a:gd name="connsiteX43" fmla="*/ 561975 w 866775"/>
                                          <a:gd name="connsiteY43" fmla="*/ 876300 h 1019175"/>
                                          <a:gd name="connsiteX44" fmla="*/ 638175 w 866775"/>
                                          <a:gd name="connsiteY44" fmla="*/ 866775 h 1019175"/>
                                          <a:gd name="connsiteX45" fmla="*/ 619125 w 866775"/>
                                          <a:gd name="connsiteY45" fmla="*/ 809625 h 1019175"/>
                                          <a:gd name="connsiteX46" fmla="*/ 609600 w 866775"/>
                                          <a:gd name="connsiteY46" fmla="*/ 781050 h 1019175"/>
                                          <a:gd name="connsiteX47" fmla="*/ 685800 w 866775"/>
                                          <a:gd name="connsiteY47" fmla="*/ 771525 h 1019175"/>
                                          <a:gd name="connsiteX48" fmla="*/ 695325 w 866775"/>
                                          <a:gd name="connsiteY48" fmla="*/ 742950 h 1019175"/>
                                          <a:gd name="connsiteX49" fmla="*/ 704850 w 866775"/>
                                          <a:gd name="connsiteY49" fmla="*/ 685800 h 1019175"/>
                                          <a:gd name="connsiteX50" fmla="*/ 733425 w 866775"/>
                                          <a:gd name="connsiteY50" fmla="*/ 666750 h 1019175"/>
                                          <a:gd name="connsiteX51" fmla="*/ 723900 w 866775"/>
                                          <a:gd name="connsiteY51" fmla="*/ 590550 h 1019175"/>
                                          <a:gd name="connsiteX52" fmla="*/ 714375 w 866775"/>
                                          <a:gd name="connsiteY52" fmla="*/ 561975 h 1019175"/>
                                          <a:gd name="connsiteX53" fmla="*/ 733425 w 866775"/>
                                          <a:gd name="connsiteY53" fmla="*/ 485775 h 1019175"/>
                                          <a:gd name="connsiteX54" fmla="*/ 752475 w 866775"/>
                                          <a:gd name="connsiteY54" fmla="*/ 390525 h 1019175"/>
                                          <a:gd name="connsiteX55" fmla="*/ 762000 w 866775"/>
                                          <a:gd name="connsiteY55" fmla="*/ 342900 h 1019175"/>
                                          <a:gd name="connsiteX56" fmla="*/ 790575 w 866775"/>
                                          <a:gd name="connsiteY56" fmla="*/ 323850 h 1019175"/>
                                          <a:gd name="connsiteX57" fmla="*/ 838200 w 866775"/>
                                          <a:gd name="connsiteY57" fmla="*/ 314325 h 1019175"/>
                                          <a:gd name="connsiteX58" fmla="*/ 866775 w 866775"/>
                                          <a:gd name="connsiteY58" fmla="*/ 304800 h 1019175"/>
                                          <a:gd name="connsiteX59" fmla="*/ 828675 w 866775"/>
                                          <a:gd name="connsiteY59" fmla="*/ 238125 h 1019175"/>
                                          <a:gd name="connsiteX60" fmla="*/ 828675 w 866775"/>
                                          <a:gd name="connsiteY60" fmla="*/ 285750 h 10191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866775" h="1019175">
                                            <a:moveTo>
                                              <a:pt x="828675" y="285750"/>
                                            </a:moveTo>
                                            <a:cubicBezTo>
                                              <a:pt x="827088" y="285750"/>
                                              <a:pt x="827182" y="252181"/>
                                              <a:pt x="819150" y="238125"/>
                                            </a:cubicBezTo>
                                            <a:cubicBezTo>
                                              <a:pt x="810461" y="222919"/>
                                              <a:pt x="776667" y="214439"/>
                                              <a:pt x="762000" y="209550"/>
                                            </a:cubicBezTo>
                                            <a:cubicBezTo>
                                              <a:pt x="758825" y="200025"/>
                                              <a:pt x="759575" y="188075"/>
                                              <a:pt x="752475" y="180975"/>
                                            </a:cubicBezTo>
                                            <a:cubicBezTo>
                                              <a:pt x="745375" y="173875"/>
                                              <a:pt x="733745" y="173419"/>
                                              <a:pt x="723900" y="171450"/>
                                            </a:cubicBezTo>
                                            <a:cubicBezTo>
                                              <a:pt x="701885" y="167047"/>
                                              <a:pt x="679450" y="165100"/>
                                              <a:pt x="657225" y="161925"/>
                                            </a:cubicBezTo>
                                            <a:cubicBezTo>
                                              <a:pt x="645660" y="57843"/>
                                              <a:pt x="675863" y="85607"/>
                                              <a:pt x="609600" y="66675"/>
                                            </a:cubicBezTo>
                                            <a:cubicBezTo>
                                              <a:pt x="599946" y="63917"/>
                                              <a:pt x="590550" y="60325"/>
                                              <a:pt x="581025" y="57150"/>
                                            </a:cubicBezTo>
                                            <a:cubicBezTo>
                                              <a:pt x="574675" y="66675"/>
                                              <a:pt x="571500" y="79375"/>
                                              <a:pt x="561975" y="85725"/>
                                            </a:cubicBezTo>
                                            <a:cubicBezTo>
                                              <a:pt x="534266" y="104198"/>
                                              <a:pt x="513484" y="92652"/>
                                              <a:pt x="485775" y="85725"/>
                                            </a:cubicBezTo>
                                            <a:cubicBezTo>
                                              <a:pt x="476250" y="79375"/>
                                              <a:pt x="467439" y="71795"/>
                                              <a:pt x="457200" y="66675"/>
                                            </a:cubicBezTo>
                                            <a:cubicBezTo>
                                              <a:pt x="409619" y="42884"/>
                                              <a:pt x="290206" y="48499"/>
                                              <a:pt x="276225" y="47625"/>
                                            </a:cubicBezTo>
                                            <a:cubicBezTo>
                                              <a:pt x="254000" y="50800"/>
                                              <a:pt x="229988" y="66440"/>
                                              <a:pt x="209550" y="57150"/>
                                            </a:cubicBezTo>
                                            <a:cubicBezTo>
                                              <a:pt x="188707" y="47676"/>
                                              <a:pt x="171450" y="0"/>
                                              <a:pt x="171450" y="0"/>
                                            </a:cubicBezTo>
                                            <a:cubicBezTo>
                                              <a:pt x="3871" y="16758"/>
                                              <a:pt x="85725" y="-22707"/>
                                              <a:pt x="85725" y="38100"/>
                                            </a:cubicBezTo>
                                            <a:cubicBezTo>
                                              <a:pt x="85725" y="63698"/>
                                              <a:pt x="79375" y="88900"/>
                                              <a:pt x="76200" y="114300"/>
                                            </a:cubicBezTo>
                                            <a:cubicBezTo>
                                              <a:pt x="79375" y="130175"/>
                                              <a:pt x="77693" y="147869"/>
                                              <a:pt x="85725" y="161925"/>
                                            </a:cubicBezTo>
                                            <a:cubicBezTo>
                                              <a:pt x="104657" y="195055"/>
                                              <a:pt x="203790" y="189924"/>
                                              <a:pt x="209550" y="190500"/>
                                            </a:cubicBezTo>
                                            <a:cubicBezTo>
                                              <a:pt x="206375" y="212725"/>
                                              <a:pt x="204428" y="235160"/>
                                              <a:pt x="200025" y="257175"/>
                                            </a:cubicBezTo>
                                            <a:cubicBezTo>
                                              <a:pt x="191370" y="300449"/>
                                              <a:pt x="178873" y="276969"/>
                                              <a:pt x="200025" y="333375"/>
                                            </a:cubicBezTo>
                                            <a:cubicBezTo>
                                              <a:pt x="204045" y="344094"/>
                                              <a:pt x="212725" y="352425"/>
                                              <a:pt x="219075" y="361950"/>
                                            </a:cubicBezTo>
                                            <a:cubicBezTo>
                                              <a:pt x="222250" y="377825"/>
                                              <a:pt x="222916" y="394416"/>
                                              <a:pt x="228600" y="409575"/>
                                            </a:cubicBezTo>
                                            <a:cubicBezTo>
                                              <a:pt x="232620" y="420294"/>
                                              <a:pt x="246386" y="426772"/>
                                              <a:pt x="247650" y="438150"/>
                                            </a:cubicBezTo>
                                            <a:cubicBezTo>
                                              <a:pt x="248980" y="450123"/>
                                              <a:pt x="237731" y="505614"/>
                                              <a:pt x="228600" y="523875"/>
                                            </a:cubicBezTo>
                                            <a:cubicBezTo>
                                              <a:pt x="223480" y="534114"/>
                                              <a:pt x="215900" y="542925"/>
                                              <a:pt x="209550" y="552450"/>
                                            </a:cubicBezTo>
                                            <a:cubicBezTo>
                                              <a:pt x="187373" y="707687"/>
                                              <a:pt x="218104" y="561066"/>
                                              <a:pt x="180975" y="647700"/>
                                            </a:cubicBezTo>
                                            <a:cubicBezTo>
                                              <a:pt x="175818" y="659732"/>
                                              <a:pt x="182102" y="678191"/>
                                              <a:pt x="171450" y="685800"/>
                                            </a:cubicBezTo>
                                            <a:cubicBezTo>
                                              <a:pt x="155735" y="697025"/>
                                              <a:pt x="133350" y="692150"/>
                                              <a:pt x="114300" y="695325"/>
                                            </a:cubicBezTo>
                                            <a:cubicBezTo>
                                              <a:pt x="104775" y="701675"/>
                                              <a:pt x="95964" y="709255"/>
                                              <a:pt x="85725" y="714375"/>
                                            </a:cubicBezTo>
                                            <a:cubicBezTo>
                                              <a:pt x="62277" y="726099"/>
                                              <a:pt x="21950" y="729767"/>
                                              <a:pt x="0" y="733425"/>
                                            </a:cubicBezTo>
                                            <a:cubicBezTo>
                                              <a:pt x="34738" y="837638"/>
                                              <a:pt x="-20664" y="679788"/>
                                              <a:pt x="28575" y="790575"/>
                                            </a:cubicBezTo>
                                            <a:cubicBezTo>
                                              <a:pt x="36730" y="808925"/>
                                              <a:pt x="41275" y="828675"/>
                                              <a:pt x="47625" y="847725"/>
                                            </a:cubicBezTo>
                                            <a:cubicBezTo>
                                              <a:pt x="50800" y="857250"/>
                                              <a:pt x="47410" y="873865"/>
                                              <a:pt x="57150" y="876300"/>
                                            </a:cubicBezTo>
                                            <a:lnTo>
                                              <a:pt x="95250" y="885825"/>
                                            </a:lnTo>
                                            <a:cubicBezTo>
                                              <a:pt x="115570" y="946785"/>
                                              <a:pt x="87630" y="888365"/>
                                              <a:pt x="133350" y="923925"/>
                                            </a:cubicBezTo>
                                            <a:cubicBezTo>
                                              <a:pt x="141215" y="930043"/>
                                              <a:pt x="192465" y="991255"/>
                                              <a:pt x="219075" y="1000125"/>
                                            </a:cubicBezTo>
                                            <a:cubicBezTo>
                                              <a:pt x="237397" y="1006232"/>
                                              <a:pt x="257372" y="1005460"/>
                                              <a:pt x="276225" y="1009650"/>
                                            </a:cubicBezTo>
                                            <a:cubicBezTo>
                                              <a:pt x="286026" y="1011828"/>
                                              <a:pt x="295275" y="1016000"/>
                                              <a:pt x="304800" y="1019175"/>
                                            </a:cubicBezTo>
                                            <a:cubicBezTo>
                                              <a:pt x="317500" y="1016000"/>
                                              <a:pt x="333048" y="1018270"/>
                                              <a:pt x="342900" y="1009650"/>
                                            </a:cubicBezTo>
                                            <a:cubicBezTo>
                                              <a:pt x="360130" y="994573"/>
                                              <a:pt x="358282" y="955340"/>
                                              <a:pt x="381000" y="952500"/>
                                            </a:cubicBezTo>
                                            <a:lnTo>
                                              <a:pt x="457200" y="942975"/>
                                            </a:lnTo>
                                            <a:cubicBezTo>
                                              <a:pt x="460375" y="920750"/>
                                              <a:pt x="456685" y="896380"/>
                                              <a:pt x="466725" y="876300"/>
                                            </a:cubicBezTo>
                                            <a:cubicBezTo>
                                              <a:pt x="471215" y="867320"/>
                                              <a:pt x="485260" y="866775"/>
                                              <a:pt x="495300" y="866775"/>
                                            </a:cubicBezTo>
                                            <a:cubicBezTo>
                                              <a:pt x="517751" y="866775"/>
                                              <a:pt x="539750" y="873125"/>
                                              <a:pt x="561975" y="876300"/>
                                            </a:cubicBezTo>
                                            <a:cubicBezTo>
                                              <a:pt x="629985" y="898970"/>
                                              <a:pt x="607986" y="912058"/>
                                              <a:pt x="638175" y="866775"/>
                                            </a:cubicBezTo>
                                            <a:lnTo>
                                              <a:pt x="619125" y="809625"/>
                                            </a:lnTo>
                                            <a:lnTo>
                                              <a:pt x="609600" y="781050"/>
                                            </a:lnTo>
                                            <a:cubicBezTo>
                                              <a:pt x="635000" y="777875"/>
                                              <a:pt x="662409" y="781921"/>
                                              <a:pt x="685800" y="771525"/>
                                            </a:cubicBezTo>
                                            <a:cubicBezTo>
                                              <a:pt x="694975" y="767447"/>
                                              <a:pt x="693147" y="752751"/>
                                              <a:pt x="695325" y="742950"/>
                                            </a:cubicBezTo>
                                            <a:cubicBezTo>
                                              <a:pt x="699515" y="724097"/>
                                              <a:pt x="696213" y="703074"/>
                                              <a:pt x="704850" y="685800"/>
                                            </a:cubicBezTo>
                                            <a:cubicBezTo>
                                              <a:pt x="709970" y="675561"/>
                                              <a:pt x="723900" y="673100"/>
                                              <a:pt x="733425" y="666750"/>
                                            </a:cubicBezTo>
                                            <a:cubicBezTo>
                                              <a:pt x="730250" y="641350"/>
                                              <a:pt x="728479" y="615735"/>
                                              <a:pt x="723900" y="590550"/>
                                            </a:cubicBezTo>
                                            <a:cubicBezTo>
                                              <a:pt x="722104" y="580672"/>
                                              <a:pt x="714375" y="572015"/>
                                              <a:pt x="714375" y="561975"/>
                                            </a:cubicBezTo>
                                            <a:cubicBezTo>
                                              <a:pt x="714375" y="538987"/>
                                              <a:pt x="725909" y="508324"/>
                                              <a:pt x="733425" y="485775"/>
                                            </a:cubicBezTo>
                                            <a:cubicBezTo>
                                              <a:pt x="756761" y="322422"/>
                                              <a:pt x="730309" y="479189"/>
                                              <a:pt x="752475" y="390525"/>
                                            </a:cubicBezTo>
                                            <a:cubicBezTo>
                                              <a:pt x="756402" y="374819"/>
                                              <a:pt x="753968" y="356956"/>
                                              <a:pt x="762000" y="342900"/>
                                            </a:cubicBezTo>
                                            <a:cubicBezTo>
                                              <a:pt x="767680" y="332961"/>
                                              <a:pt x="779856" y="327870"/>
                                              <a:pt x="790575" y="323850"/>
                                            </a:cubicBezTo>
                                            <a:cubicBezTo>
                                              <a:pt x="805734" y="318166"/>
                                              <a:pt x="822494" y="318252"/>
                                              <a:pt x="838200" y="314325"/>
                                            </a:cubicBezTo>
                                            <a:cubicBezTo>
                                              <a:pt x="847940" y="311890"/>
                                              <a:pt x="857250" y="307975"/>
                                              <a:pt x="866775" y="304800"/>
                                            </a:cubicBezTo>
                                            <a:cubicBezTo>
                                              <a:pt x="854643" y="207747"/>
                                              <a:pt x="882068" y="224777"/>
                                              <a:pt x="828675" y="238125"/>
                                            </a:cubicBezTo>
                                            <a:cubicBezTo>
                                              <a:pt x="825595" y="238895"/>
                                              <a:pt x="830262" y="285750"/>
                                              <a:pt x="828675" y="285750"/>
                                            </a:cubicBezTo>
                                            <a:close/>
                                          </a:path>
                                        </a:pathLst>
                                      </a:custGeom>
                                      <a:solidFill>
                                        <a:schemeClr val="accent3">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s-ES" sz="1100" b="0">
                                            <a:solidFill>
                                              <a:sysClr val="windowText" lastClr="000000"/>
                                            </a:solidFill>
                                          </a:rPr>
                                          <a:t>Dajabon</a:t>
                                        </a:r>
                                      </a:p>
                                      <a:p>
                                        <a:pPr algn="ctr"/>
                                        <a:r>
                                          <a:rPr lang="es-ES" sz="1100" b="0">
                                            <a:solidFill>
                                              <a:sysClr val="windowText" lastClr="000000"/>
                                            </a:solidFill>
                                          </a:rPr>
                                          <a:t>7,869</a:t>
                                        </a:r>
                                      </a:p>
                                      <a:p>
                                        <a:pPr algn="ctr"/>
                                        <a:r>
                                          <a:rPr lang="es-ES" sz="1100" b="0">
                                            <a:solidFill>
                                              <a:sysClr val="windowText" lastClr="000000"/>
                                            </a:solidFill>
                                          </a:rPr>
                                          <a:t>0.3%</a:t>
                                        </a:r>
                                      </a:p>
                                    </xdr:txBody>
                                  </xdr:sp>
                                  <xdr:sp macro="" textlink="">
                                    <xdr:nvSpPr>
                                      <xdr:cNvPr id="49" name="Forma libre 48"/>
                                      <xdr:cNvSpPr/>
                                    </xdr:nvSpPr>
                                    <xdr:spPr>
                                      <a:xfrm>
                                        <a:off x="1143000" y="923925"/>
                                        <a:ext cx="1089938" cy="925529"/>
                                      </a:xfrm>
                                      <a:custGeom>
                                        <a:avLst/>
                                        <a:gdLst>
                                          <a:gd name="connsiteX0" fmla="*/ 771525 w 1089300"/>
                                          <a:gd name="connsiteY0" fmla="*/ 447675 h 971550"/>
                                          <a:gd name="connsiteX1" fmla="*/ 838200 w 1089300"/>
                                          <a:gd name="connsiteY1" fmla="*/ 457200 h 971550"/>
                                          <a:gd name="connsiteX2" fmla="*/ 866775 w 1089300"/>
                                          <a:gd name="connsiteY2" fmla="*/ 514350 h 971550"/>
                                          <a:gd name="connsiteX3" fmla="*/ 895350 w 1089300"/>
                                          <a:gd name="connsiteY3" fmla="*/ 504825 h 971550"/>
                                          <a:gd name="connsiteX4" fmla="*/ 923925 w 1089300"/>
                                          <a:gd name="connsiteY4" fmla="*/ 447675 h 971550"/>
                                          <a:gd name="connsiteX5" fmla="*/ 1000125 w 1089300"/>
                                          <a:gd name="connsiteY5" fmla="*/ 428625 h 971550"/>
                                          <a:gd name="connsiteX6" fmla="*/ 1047750 w 1089300"/>
                                          <a:gd name="connsiteY6" fmla="*/ 352425 h 971550"/>
                                          <a:gd name="connsiteX7" fmla="*/ 1066800 w 1089300"/>
                                          <a:gd name="connsiteY7" fmla="*/ 295275 h 971550"/>
                                          <a:gd name="connsiteX8" fmla="*/ 1038225 w 1089300"/>
                                          <a:gd name="connsiteY8" fmla="*/ 285750 h 971550"/>
                                          <a:gd name="connsiteX9" fmla="*/ 981075 w 1089300"/>
                                          <a:gd name="connsiteY9" fmla="*/ 276225 h 971550"/>
                                          <a:gd name="connsiteX10" fmla="*/ 990600 w 1089300"/>
                                          <a:gd name="connsiteY10" fmla="*/ 238125 h 971550"/>
                                          <a:gd name="connsiteX11" fmla="*/ 933450 w 1089300"/>
                                          <a:gd name="connsiteY11" fmla="*/ 219075 h 971550"/>
                                          <a:gd name="connsiteX12" fmla="*/ 904875 w 1089300"/>
                                          <a:gd name="connsiteY12" fmla="*/ 200025 h 971550"/>
                                          <a:gd name="connsiteX13" fmla="*/ 828675 w 1089300"/>
                                          <a:gd name="connsiteY13" fmla="*/ 209550 h 971550"/>
                                          <a:gd name="connsiteX14" fmla="*/ 809625 w 1089300"/>
                                          <a:gd name="connsiteY14" fmla="*/ 180975 h 971550"/>
                                          <a:gd name="connsiteX15" fmla="*/ 800100 w 1089300"/>
                                          <a:gd name="connsiteY15" fmla="*/ 114300 h 971550"/>
                                          <a:gd name="connsiteX16" fmla="*/ 733425 w 1089300"/>
                                          <a:gd name="connsiteY16" fmla="*/ 104775 h 971550"/>
                                          <a:gd name="connsiteX17" fmla="*/ 723900 w 1089300"/>
                                          <a:gd name="connsiteY17" fmla="*/ 76200 h 971550"/>
                                          <a:gd name="connsiteX18" fmla="*/ 666750 w 1089300"/>
                                          <a:gd name="connsiteY18" fmla="*/ 95250 h 971550"/>
                                          <a:gd name="connsiteX19" fmla="*/ 638175 w 1089300"/>
                                          <a:gd name="connsiteY19" fmla="*/ 85725 h 971550"/>
                                          <a:gd name="connsiteX20" fmla="*/ 581025 w 1089300"/>
                                          <a:gd name="connsiteY20" fmla="*/ 47625 h 971550"/>
                                          <a:gd name="connsiteX21" fmla="*/ 571500 w 1089300"/>
                                          <a:gd name="connsiteY21" fmla="*/ 19050 h 971550"/>
                                          <a:gd name="connsiteX22" fmla="*/ 542925 w 1089300"/>
                                          <a:gd name="connsiteY22" fmla="*/ 9525 h 971550"/>
                                          <a:gd name="connsiteX23" fmla="*/ 457200 w 1089300"/>
                                          <a:gd name="connsiteY23" fmla="*/ 0 h 971550"/>
                                          <a:gd name="connsiteX24" fmla="*/ 419100 w 1089300"/>
                                          <a:gd name="connsiteY24" fmla="*/ 9525 h 971550"/>
                                          <a:gd name="connsiteX25" fmla="*/ 409575 w 1089300"/>
                                          <a:gd name="connsiteY25" fmla="*/ 66675 h 971550"/>
                                          <a:gd name="connsiteX26" fmla="*/ 361950 w 1089300"/>
                                          <a:gd name="connsiteY26" fmla="*/ 57150 h 971550"/>
                                          <a:gd name="connsiteX27" fmla="*/ 295275 w 1089300"/>
                                          <a:gd name="connsiteY27" fmla="*/ 28575 h 971550"/>
                                          <a:gd name="connsiteX28" fmla="*/ 247650 w 1089300"/>
                                          <a:gd name="connsiteY28" fmla="*/ 38100 h 971550"/>
                                          <a:gd name="connsiteX29" fmla="*/ 238125 w 1089300"/>
                                          <a:gd name="connsiteY29" fmla="*/ 95250 h 971550"/>
                                          <a:gd name="connsiteX30" fmla="*/ 228600 w 1089300"/>
                                          <a:gd name="connsiteY30" fmla="*/ 123825 h 971550"/>
                                          <a:gd name="connsiteX31" fmla="*/ 171450 w 1089300"/>
                                          <a:gd name="connsiteY31" fmla="*/ 142875 h 971550"/>
                                          <a:gd name="connsiteX32" fmla="*/ 161925 w 1089300"/>
                                          <a:gd name="connsiteY32" fmla="*/ 200025 h 971550"/>
                                          <a:gd name="connsiteX33" fmla="*/ 142875 w 1089300"/>
                                          <a:gd name="connsiteY33" fmla="*/ 285750 h 971550"/>
                                          <a:gd name="connsiteX34" fmla="*/ 133350 w 1089300"/>
                                          <a:gd name="connsiteY34" fmla="*/ 381000 h 971550"/>
                                          <a:gd name="connsiteX35" fmla="*/ 114300 w 1089300"/>
                                          <a:gd name="connsiteY35" fmla="*/ 409575 h 971550"/>
                                          <a:gd name="connsiteX36" fmla="*/ 104775 w 1089300"/>
                                          <a:gd name="connsiteY36" fmla="*/ 495300 h 971550"/>
                                          <a:gd name="connsiteX37" fmla="*/ 85725 w 1089300"/>
                                          <a:gd name="connsiteY37" fmla="*/ 552450 h 971550"/>
                                          <a:gd name="connsiteX38" fmla="*/ 57150 w 1089300"/>
                                          <a:gd name="connsiteY38" fmla="*/ 571500 h 971550"/>
                                          <a:gd name="connsiteX39" fmla="*/ 0 w 1089300"/>
                                          <a:gd name="connsiteY39" fmla="*/ 590550 h 971550"/>
                                          <a:gd name="connsiteX40" fmla="*/ 38100 w 1089300"/>
                                          <a:gd name="connsiteY40" fmla="*/ 628650 h 971550"/>
                                          <a:gd name="connsiteX41" fmla="*/ 57150 w 1089300"/>
                                          <a:gd name="connsiteY41" fmla="*/ 657225 h 971550"/>
                                          <a:gd name="connsiteX42" fmla="*/ 47625 w 1089300"/>
                                          <a:gd name="connsiteY42" fmla="*/ 685800 h 971550"/>
                                          <a:gd name="connsiteX43" fmla="*/ 104775 w 1089300"/>
                                          <a:gd name="connsiteY43" fmla="*/ 723900 h 971550"/>
                                          <a:gd name="connsiteX44" fmla="*/ 190500 w 1089300"/>
                                          <a:gd name="connsiteY44" fmla="*/ 771525 h 971550"/>
                                          <a:gd name="connsiteX45" fmla="*/ 228600 w 1089300"/>
                                          <a:gd name="connsiteY45" fmla="*/ 809625 h 971550"/>
                                          <a:gd name="connsiteX46" fmla="*/ 314325 w 1089300"/>
                                          <a:gd name="connsiteY46" fmla="*/ 819150 h 971550"/>
                                          <a:gd name="connsiteX47" fmla="*/ 371475 w 1089300"/>
                                          <a:gd name="connsiteY47" fmla="*/ 885825 h 971550"/>
                                          <a:gd name="connsiteX48" fmla="*/ 457200 w 1089300"/>
                                          <a:gd name="connsiteY48" fmla="*/ 962025 h 971550"/>
                                          <a:gd name="connsiteX49" fmla="*/ 485775 w 1089300"/>
                                          <a:gd name="connsiteY49" fmla="*/ 971550 h 971550"/>
                                          <a:gd name="connsiteX50" fmla="*/ 561975 w 1089300"/>
                                          <a:gd name="connsiteY50" fmla="*/ 962025 h 971550"/>
                                          <a:gd name="connsiteX51" fmla="*/ 590550 w 1089300"/>
                                          <a:gd name="connsiteY51" fmla="*/ 952500 h 971550"/>
                                          <a:gd name="connsiteX52" fmla="*/ 704850 w 1089300"/>
                                          <a:gd name="connsiteY52" fmla="*/ 962025 h 971550"/>
                                          <a:gd name="connsiteX53" fmla="*/ 742950 w 1089300"/>
                                          <a:gd name="connsiteY53" fmla="*/ 952500 h 971550"/>
                                          <a:gd name="connsiteX54" fmla="*/ 704850 w 1089300"/>
                                          <a:gd name="connsiteY54" fmla="*/ 895350 h 971550"/>
                                          <a:gd name="connsiteX55" fmla="*/ 685800 w 1089300"/>
                                          <a:gd name="connsiteY55" fmla="*/ 866775 h 971550"/>
                                          <a:gd name="connsiteX56" fmla="*/ 666750 w 1089300"/>
                                          <a:gd name="connsiteY56" fmla="*/ 781050 h 971550"/>
                                          <a:gd name="connsiteX57" fmla="*/ 647700 w 1089300"/>
                                          <a:gd name="connsiteY57" fmla="*/ 752475 h 971550"/>
                                          <a:gd name="connsiteX58" fmla="*/ 657225 w 1089300"/>
                                          <a:gd name="connsiteY58" fmla="*/ 723900 h 971550"/>
                                          <a:gd name="connsiteX59" fmla="*/ 676275 w 1089300"/>
                                          <a:gd name="connsiteY59" fmla="*/ 695325 h 971550"/>
                                          <a:gd name="connsiteX60" fmla="*/ 704850 w 1089300"/>
                                          <a:gd name="connsiteY60" fmla="*/ 581025 h 971550"/>
                                          <a:gd name="connsiteX61" fmla="*/ 742950 w 1089300"/>
                                          <a:gd name="connsiteY61" fmla="*/ 561975 h 971550"/>
                                          <a:gd name="connsiteX62" fmla="*/ 752475 w 1089300"/>
                                          <a:gd name="connsiteY62" fmla="*/ 533400 h 971550"/>
                                          <a:gd name="connsiteX63" fmla="*/ 781050 w 1089300"/>
                                          <a:gd name="connsiteY63" fmla="*/ 466725 h 971550"/>
                                          <a:gd name="connsiteX64" fmla="*/ 809625 w 1089300"/>
                                          <a:gd name="connsiteY64" fmla="*/ 457200 h 971550"/>
                                          <a:gd name="connsiteX65" fmla="*/ 838200 w 1089300"/>
                                          <a:gd name="connsiteY65" fmla="*/ 476250 h 9715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Lst>
                                        <a:rect l="l" t="t" r="r" b="b"/>
                                        <a:pathLst>
                                          <a:path w="1089300" h="971550">
                                            <a:moveTo>
                                              <a:pt x="771525" y="447675"/>
                                            </a:moveTo>
                                            <a:cubicBezTo>
                                              <a:pt x="793750" y="450850"/>
                                              <a:pt x="817684" y="448082"/>
                                              <a:pt x="838200" y="457200"/>
                                            </a:cubicBezTo>
                                            <a:cubicBezTo>
                                              <a:pt x="852650" y="463622"/>
                                              <a:pt x="862549" y="501671"/>
                                              <a:pt x="866775" y="514350"/>
                                            </a:cubicBezTo>
                                            <a:cubicBezTo>
                                              <a:pt x="876300" y="511175"/>
                                              <a:pt x="888250" y="511925"/>
                                              <a:pt x="895350" y="504825"/>
                                            </a:cubicBezTo>
                                            <a:cubicBezTo>
                                              <a:pt x="917890" y="482285"/>
                                              <a:pt x="888594" y="465341"/>
                                              <a:pt x="923925" y="447675"/>
                                            </a:cubicBezTo>
                                            <a:cubicBezTo>
                                              <a:pt x="947343" y="435966"/>
                                              <a:pt x="1000125" y="428625"/>
                                              <a:pt x="1000125" y="428625"/>
                                            </a:cubicBezTo>
                                            <a:cubicBezTo>
                                              <a:pt x="1022795" y="360615"/>
                                              <a:pt x="1002467" y="382614"/>
                                              <a:pt x="1047750" y="352425"/>
                                            </a:cubicBezTo>
                                            <a:cubicBezTo>
                                              <a:pt x="1082939" y="364155"/>
                                              <a:pt x="1110580" y="382834"/>
                                              <a:pt x="1066800" y="295275"/>
                                            </a:cubicBezTo>
                                            <a:cubicBezTo>
                                              <a:pt x="1062310" y="286295"/>
                                              <a:pt x="1048026" y="287928"/>
                                              <a:pt x="1038225" y="285750"/>
                                            </a:cubicBezTo>
                                            <a:cubicBezTo>
                                              <a:pt x="1019372" y="281560"/>
                                              <a:pt x="1000125" y="279400"/>
                                              <a:pt x="981075" y="276225"/>
                                            </a:cubicBezTo>
                                            <a:cubicBezTo>
                                              <a:pt x="984250" y="263525"/>
                                              <a:pt x="998981" y="248182"/>
                                              <a:pt x="990600" y="238125"/>
                                            </a:cubicBezTo>
                                            <a:cubicBezTo>
                                              <a:pt x="977745" y="222699"/>
                                              <a:pt x="950158" y="230214"/>
                                              <a:pt x="933450" y="219075"/>
                                            </a:cubicBezTo>
                                            <a:lnTo>
                                              <a:pt x="904875" y="200025"/>
                                            </a:lnTo>
                                            <a:cubicBezTo>
                                              <a:pt x="879475" y="203200"/>
                                              <a:pt x="853776" y="214570"/>
                                              <a:pt x="828675" y="209550"/>
                                            </a:cubicBezTo>
                                            <a:cubicBezTo>
                                              <a:pt x="817450" y="207305"/>
                                              <a:pt x="812914" y="191940"/>
                                              <a:pt x="809625" y="180975"/>
                                            </a:cubicBezTo>
                                            <a:cubicBezTo>
                                              <a:pt x="803174" y="159471"/>
                                              <a:pt x="815975" y="130175"/>
                                              <a:pt x="800100" y="114300"/>
                                            </a:cubicBezTo>
                                            <a:cubicBezTo>
                                              <a:pt x="784225" y="98425"/>
                                              <a:pt x="755650" y="107950"/>
                                              <a:pt x="733425" y="104775"/>
                                            </a:cubicBezTo>
                                            <a:cubicBezTo>
                                              <a:pt x="730250" y="95250"/>
                                              <a:pt x="733839" y="77620"/>
                                              <a:pt x="723900" y="76200"/>
                                            </a:cubicBezTo>
                                            <a:cubicBezTo>
                                              <a:pt x="704021" y="73360"/>
                                              <a:pt x="666750" y="95250"/>
                                              <a:pt x="666750" y="95250"/>
                                            </a:cubicBezTo>
                                            <a:cubicBezTo>
                                              <a:pt x="657225" y="92075"/>
                                              <a:pt x="646952" y="90601"/>
                                              <a:pt x="638175" y="85725"/>
                                            </a:cubicBezTo>
                                            <a:cubicBezTo>
                                              <a:pt x="618161" y="74606"/>
                                              <a:pt x="581025" y="47625"/>
                                              <a:pt x="581025" y="47625"/>
                                            </a:cubicBezTo>
                                            <a:cubicBezTo>
                                              <a:pt x="577850" y="38100"/>
                                              <a:pt x="578600" y="26150"/>
                                              <a:pt x="571500" y="19050"/>
                                            </a:cubicBezTo>
                                            <a:cubicBezTo>
                                              <a:pt x="564400" y="11950"/>
                                              <a:pt x="552829" y="11176"/>
                                              <a:pt x="542925" y="9525"/>
                                            </a:cubicBezTo>
                                            <a:cubicBezTo>
                                              <a:pt x="514565" y="4798"/>
                                              <a:pt x="485775" y="3175"/>
                                              <a:pt x="457200" y="0"/>
                                            </a:cubicBezTo>
                                            <a:cubicBezTo>
                                              <a:pt x="444500" y="3175"/>
                                              <a:pt x="426709" y="-1127"/>
                                              <a:pt x="419100" y="9525"/>
                                            </a:cubicBezTo>
                                            <a:cubicBezTo>
                                              <a:pt x="407875" y="25240"/>
                                              <a:pt x="424411" y="54311"/>
                                              <a:pt x="409575" y="66675"/>
                                            </a:cubicBezTo>
                                            <a:cubicBezTo>
                                              <a:pt x="397138" y="77039"/>
                                              <a:pt x="377656" y="61077"/>
                                              <a:pt x="361950" y="57150"/>
                                            </a:cubicBezTo>
                                            <a:cubicBezTo>
                                              <a:pt x="333920" y="50142"/>
                                              <a:pt x="322535" y="42205"/>
                                              <a:pt x="295275" y="28575"/>
                                            </a:cubicBezTo>
                                            <a:cubicBezTo>
                                              <a:pt x="279400" y="31750"/>
                                              <a:pt x="258186" y="25808"/>
                                              <a:pt x="247650" y="38100"/>
                                            </a:cubicBezTo>
                                            <a:cubicBezTo>
                                              <a:pt x="235081" y="52763"/>
                                              <a:pt x="242315" y="76397"/>
                                              <a:pt x="238125" y="95250"/>
                                            </a:cubicBezTo>
                                            <a:cubicBezTo>
                                              <a:pt x="235947" y="105051"/>
                                              <a:pt x="236770" y="117989"/>
                                              <a:pt x="228600" y="123825"/>
                                            </a:cubicBezTo>
                                            <a:cubicBezTo>
                                              <a:pt x="212260" y="135497"/>
                                              <a:pt x="171450" y="142875"/>
                                              <a:pt x="171450" y="142875"/>
                                            </a:cubicBezTo>
                                            <a:cubicBezTo>
                                              <a:pt x="131843" y="202285"/>
                                              <a:pt x="161925" y="140872"/>
                                              <a:pt x="161925" y="200025"/>
                                            </a:cubicBezTo>
                                            <a:cubicBezTo>
                                              <a:pt x="161925" y="212117"/>
                                              <a:pt x="146549" y="271056"/>
                                              <a:pt x="142875" y="285750"/>
                                            </a:cubicBezTo>
                                            <a:cubicBezTo>
                                              <a:pt x="139700" y="317500"/>
                                              <a:pt x="140525" y="349909"/>
                                              <a:pt x="133350" y="381000"/>
                                            </a:cubicBezTo>
                                            <a:cubicBezTo>
                                              <a:pt x="130776" y="392154"/>
                                              <a:pt x="117076" y="398469"/>
                                              <a:pt x="114300" y="409575"/>
                                            </a:cubicBezTo>
                                            <a:cubicBezTo>
                                              <a:pt x="107327" y="437467"/>
                                              <a:pt x="110414" y="467107"/>
                                              <a:pt x="104775" y="495300"/>
                                            </a:cubicBezTo>
                                            <a:cubicBezTo>
                                              <a:pt x="100837" y="514991"/>
                                              <a:pt x="102433" y="541311"/>
                                              <a:pt x="85725" y="552450"/>
                                            </a:cubicBezTo>
                                            <a:cubicBezTo>
                                              <a:pt x="76200" y="558800"/>
                                              <a:pt x="67611" y="566851"/>
                                              <a:pt x="57150" y="571500"/>
                                            </a:cubicBezTo>
                                            <a:cubicBezTo>
                                              <a:pt x="38800" y="579655"/>
                                              <a:pt x="0" y="590550"/>
                                              <a:pt x="0" y="590550"/>
                                            </a:cubicBezTo>
                                            <a:cubicBezTo>
                                              <a:pt x="20782" y="652895"/>
                                              <a:pt x="-8082" y="591705"/>
                                              <a:pt x="38100" y="628650"/>
                                            </a:cubicBezTo>
                                            <a:cubicBezTo>
                                              <a:pt x="47039" y="635801"/>
                                              <a:pt x="50800" y="647700"/>
                                              <a:pt x="57150" y="657225"/>
                                            </a:cubicBezTo>
                                            <a:cubicBezTo>
                                              <a:pt x="53975" y="666750"/>
                                              <a:pt x="41789" y="677630"/>
                                              <a:pt x="47625" y="685800"/>
                                            </a:cubicBezTo>
                                            <a:cubicBezTo>
                                              <a:pt x="60933" y="704431"/>
                                              <a:pt x="104775" y="723900"/>
                                              <a:pt x="104775" y="723900"/>
                                            </a:cubicBezTo>
                                            <a:cubicBezTo>
                                              <a:pt x="124221" y="801684"/>
                                              <a:pt x="94051" y="731338"/>
                                              <a:pt x="190500" y="771525"/>
                                            </a:cubicBezTo>
                                            <a:cubicBezTo>
                                              <a:pt x="207079" y="778433"/>
                                              <a:pt x="211837" y="803178"/>
                                              <a:pt x="228600" y="809625"/>
                                            </a:cubicBezTo>
                                            <a:cubicBezTo>
                                              <a:pt x="255434" y="819946"/>
                                              <a:pt x="285750" y="815975"/>
                                              <a:pt x="314325" y="819150"/>
                                            </a:cubicBezTo>
                                            <a:cubicBezTo>
                                              <a:pt x="412220" y="843624"/>
                                              <a:pt x="286446" y="800796"/>
                                              <a:pt x="371475" y="885825"/>
                                            </a:cubicBezTo>
                                            <a:cubicBezTo>
                                              <a:pt x="396719" y="911069"/>
                                              <a:pt x="423206" y="945028"/>
                                              <a:pt x="457200" y="962025"/>
                                            </a:cubicBezTo>
                                            <a:cubicBezTo>
                                              <a:pt x="466180" y="966515"/>
                                              <a:pt x="476250" y="968375"/>
                                              <a:pt x="485775" y="971550"/>
                                            </a:cubicBezTo>
                                            <a:cubicBezTo>
                                              <a:pt x="511175" y="968375"/>
                                              <a:pt x="536790" y="966604"/>
                                              <a:pt x="561975" y="962025"/>
                                            </a:cubicBezTo>
                                            <a:cubicBezTo>
                                              <a:pt x="571853" y="960229"/>
                                              <a:pt x="580510" y="952500"/>
                                              <a:pt x="590550" y="952500"/>
                                            </a:cubicBezTo>
                                            <a:cubicBezTo>
                                              <a:pt x="628782" y="952500"/>
                                              <a:pt x="666750" y="958850"/>
                                              <a:pt x="704850" y="962025"/>
                                            </a:cubicBezTo>
                                            <a:cubicBezTo>
                                              <a:pt x="717550" y="958850"/>
                                              <a:pt x="736215" y="963725"/>
                                              <a:pt x="742950" y="952500"/>
                                            </a:cubicBezTo>
                                            <a:cubicBezTo>
                                              <a:pt x="760524" y="923211"/>
                                              <a:pt x="718192" y="904245"/>
                                              <a:pt x="704850" y="895350"/>
                                            </a:cubicBezTo>
                                            <a:cubicBezTo>
                                              <a:pt x="698500" y="885825"/>
                                              <a:pt x="689420" y="877635"/>
                                              <a:pt x="685800" y="866775"/>
                                            </a:cubicBezTo>
                                            <a:cubicBezTo>
                                              <a:pt x="671167" y="822875"/>
                                              <a:pt x="684180" y="815910"/>
                                              <a:pt x="666750" y="781050"/>
                                            </a:cubicBezTo>
                                            <a:cubicBezTo>
                                              <a:pt x="661630" y="770811"/>
                                              <a:pt x="654050" y="762000"/>
                                              <a:pt x="647700" y="752475"/>
                                            </a:cubicBezTo>
                                            <a:cubicBezTo>
                                              <a:pt x="650875" y="742950"/>
                                              <a:pt x="652735" y="732880"/>
                                              <a:pt x="657225" y="723900"/>
                                            </a:cubicBezTo>
                                            <a:cubicBezTo>
                                              <a:pt x="662345" y="713661"/>
                                              <a:pt x="673499" y="706431"/>
                                              <a:pt x="676275" y="695325"/>
                                            </a:cubicBezTo>
                                            <a:cubicBezTo>
                                              <a:pt x="685595" y="658046"/>
                                              <a:pt x="670437" y="609703"/>
                                              <a:pt x="704850" y="581025"/>
                                            </a:cubicBezTo>
                                            <a:cubicBezTo>
                                              <a:pt x="715758" y="571935"/>
                                              <a:pt x="730250" y="568325"/>
                                              <a:pt x="742950" y="561975"/>
                                            </a:cubicBezTo>
                                            <a:cubicBezTo>
                                              <a:pt x="746125" y="552450"/>
                                              <a:pt x="749717" y="543054"/>
                                              <a:pt x="752475" y="533400"/>
                                            </a:cubicBezTo>
                                            <a:cubicBezTo>
                                              <a:pt x="759254" y="509674"/>
                                              <a:pt x="759568" y="483911"/>
                                              <a:pt x="781050" y="466725"/>
                                            </a:cubicBezTo>
                                            <a:cubicBezTo>
                                              <a:pt x="788890" y="460453"/>
                                              <a:pt x="800100" y="460375"/>
                                              <a:pt x="809625" y="457200"/>
                                            </a:cubicBezTo>
                                            <a:lnTo>
                                              <a:pt x="838200" y="476250"/>
                                            </a:lnTo>
                                          </a:path>
                                        </a:pathLst>
                                      </a:custGeom>
                                      <a:solidFill>
                                        <a:schemeClr val="accent3">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endParaRPr lang="es-ES" sz="1100" b="1">
                                          <a:solidFill>
                                            <a:sysClr val="windowText" lastClr="000000"/>
                                          </a:solidFill>
                                        </a:endParaRPr>
                                      </a:p>
                                      <a:p>
                                        <a:pPr algn="ctr"/>
                                        <a:r>
                                          <a:rPr lang="es-ES" sz="1100" b="1">
                                            <a:solidFill>
                                              <a:sysClr val="windowText" lastClr="000000"/>
                                            </a:solidFill>
                                          </a:rPr>
                                          <a:t>Santiago Rodriguez</a:t>
                                        </a:r>
                                      </a:p>
                                      <a:p>
                                        <a:pPr algn="ctr"/>
                                        <a:r>
                                          <a:rPr lang="es-ES" sz="1100" b="1">
                                            <a:solidFill>
                                              <a:sysClr val="windowText" lastClr="000000"/>
                                            </a:solidFill>
                                          </a:rPr>
                                          <a:t>6,308   </a:t>
                                        </a:r>
                                      </a:p>
                                      <a:p>
                                        <a:pPr algn="ctr"/>
                                        <a:r>
                                          <a:rPr lang="es-ES" sz="1100" b="1">
                                            <a:solidFill>
                                              <a:sysClr val="windowText" lastClr="000000"/>
                                            </a:solidFill>
                                          </a:rPr>
                                          <a:t>0.2%</a:t>
                                        </a:r>
                                      </a:p>
                                      <a:p>
                                        <a:pPr algn="ctr"/>
                                        <a:endParaRPr lang="es-ES" sz="1100" b="1">
                                          <a:solidFill>
                                            <a:sysClr val="windowText" lastClr="000000"/>
                                          </a:solidFill>
                                        </a:endParaRPr>
                                      </a:p>
                                    </xdr:txBody>
                                  </xdr:sp>
                                  <xdr:sp macro="" textlink="">
                                    <xdr:nvSpPr>
                                      <xdr:cNvPr id="50" name="Forma libre 49"/>
                                      <xdr:cNvSpPr/>
                                    </xdr:nvSpPr>
                                    <xdr:spPr>
                                      <a:xfrm>
                                        <a:off x="903022" y="1838325"/>
                                        <a:ext cx="1773503" cy="1457325"/>
                                      </a:xfrm>
                                      <a:custGeom>
                                        <a:avLst/>
                                        <a:gdLst>
                                          <a:gd name="connsiteX0" fmla="*/ 782903 w 1773503"/>
                                          <a:gd name="connsiteY0" fmla="*/ 28575 h 1457325"/>
                                          <a:gd name="connsiteX1" fmla="*/ 687653 w 1773503"/>
                                          <a:gd name="connsiteY1" fmla="*/ 38100 h 1457325"/>
                                          <a:gd name="connsiteX2" fmla="*/ 725753 w 1773503"/>
                                          <a:gd name="connsiteY2" fmla="*/ 95250 h 1457325"/>
                                          <a:gd name="connsiteX3" fmla="*/ 716228 w 1773503"/>
                                          <a:gd name="connsiteY3" fmla="*/ 133350 h 1457325"/>
                                          <a:gd name="connsiteX4" fmla="*/ 706703 w 1773503"/>
                                          <a:gd name="connsiteY4" fmla="*/ 180975 h 1457325"/>
                                          <a:gd name="connsiteX5" fmla="*/ 649553 w 1773503"/>
                                          <a:gd name="connsiteY5" fmla="*/ 152400 h 1457325"/>
                                          <a:gd name="connsiteX6" fmla="*/ 544778 w 1773503"/>
                                          <a:gd name="connsiteY6" fmla="*/ 152400 h 1457325"/>
                                          <a:gd name="connsiteX7" fmla="*/ 459053 w 1773503"/>
                                          <a:gd name="connsiteY7" fmla="*/ 133350 h 1457325"/>
                                          <a:gd name="connsiteX8" fmla="*/ 449528 w 1773503"/>
                                          <a:gd name="connsiteY8" fmla="*/ 161925 h 1457325"/>
                                          <a:gd name="connsiteX9" fmla="*/ 411428 w 1773503"/>
                                          <a:gd name="connsiteY9" fmla="*/ 171450 h 1457325"/>
                                          <a:gd name="connsiteX10" fmla="*/ 392378 w 1773503"/>
                                          <a:gd name="connsiteY10" fmla="*/ 238125 h 1457325"/>
                                          <a:gd name="connsiteX11" fmla="*/ 382853 w 1773503"/>
                                          <a:gd name="connsiteY11" fmla="*/ 266700 h 1457325"/>
                                          <a:gd name="connsiteX12" fmla="*/ 354278 w 1773503"/>
                                          <a:gd name="connsiteY12" fmla="*/ 285750 h 1457325"/>
                                          <a:gd name="connsiteX13" fmla="*/ 325703 w 1773503"/>
                                          <a:gd name="connsiteY13" fmla="*/ 352425 h 1457325"/>
                                          <a:gd name="connsiteX14" fmla="*/ 335228 w 1773503"/>
                                          <a:gd name="connsiteY14" fmla="*/ 381000 h 1457325"/>
                                          <a:gd name="connsiteX15" fmla="*/ 325703 w 1773503"/>
                                          <a:gd name="connsiteY15" fmla="*/ 428625 h 1457325"/>
                                          <a:gd name="connsiteX16" fmla="*/ 297128 w 1773503"/>
                                          <a:gd name="connsiteY16" fmla="*/ 438150 h 1457325"/>
                                          <a:gd name="connsiteX17" fmla="*/ 201878 w 1773503"/>
                                          <a:gd name="connsiteY17" fmla="*/ 447675 h 1457325"/>
                                          <a:gd name="connsiteX18" fmla="*/ 173303 w 1773503"/>
                                          <a:gd name="connsiteY18" fmla="*/ 466725 h 1457325"/>
                                          <a:gd name="connsiteX19" fmla="*/ 154253 w 1773503"/>
                                          <a:gd name="connsiteY19" fmla="*/ 504825 h 1457325"/>
                                          <a:gd name="connsiteX20" fmla="*/ 97103 w 1773503"/>
                                          <a:gd name="connsiteY20" fmla="*/ 514350 h 1457325"/>
                                          <a:gd name="connsiteX21" fmla="*/ 30428 w 1773503"/>
                                          <a:gd name="connsiteY21" fmla="*/ 523875 h 1457325"/>
                                          <a:gd name="connsiteX22" fmla="*/ 49478 w 1773503"/>
                                          <a:gd name="connsiteY22" fmla="*/ 600075 h 1457325"/>
                                          <a:gd name="connsiteX23" fmla="*/ 68528 w 1773503"/>
                                          <a:gd name="connsiteY23" fmla="*/ 628650 h 1457325"/>
                                          <a:gd name="connsiteX24" fmla="*/ 78053 w 1773503"/>
                                          <a:gd name="connsiteY24" fmla="*/ 657225 h 1457325"/>
                                          <a:gd name="connsiteX25" fmla="*/ 68528 w 1773503"/>
                                          <a:gd name="connsiteY25" fmla="*/ 714375 h 1457325"/>
                                          <a:gd name="connsiteX26" fmla="*/ 1853 w 1773503"/>
                                          <a:gd name="connsiteY26" fmla="*/ 723900 h 1457325"/>
                                          <a:gd name="connsiteX27" fmla="*/ 30428 w 1773503"/>
                                          <a:gd name="connsiteY27" fmla="*/ 742950 h 1457325"/>
                                          <a:gd name="connsiteX28" fmla="*/ 68528 w 1773503"/>
                                          <a:gd name="connsiteY28" fmla="*/ 752475 h 1457325"/>
                                          <a:gd name="connsiteX29" fmla="*/ 59003 w 1773503"/>
                                          <a:gd name="connsiteY29" fmla="*/ 914400 h 1457325"/>
                                          <a:gd name="connsiteX30" fmla="*/ 49478 w 1773503"/>
                                          <a:gd name="connsiteY30" fmla="*/ 923925 h 1457325"/>
                                          <a:gd name="connsiteX31" fmla="*/ 68528 w 1773503"/>
                                          <a:gd name="connsiteY31" fmla="*/ 952500 h 1457325"/>
                                          <a:gd name="connsiteX32" fmla="*/ 154253 w 1773503"/>
                                          <a:gd name="connsiteY32" fmla="*/ 971550 h 1457325"/>
                                          <a:gd name="connsiteX33" fmla="*/ 182828 w 1773503"/>
                                          <a:gd name="connsiteY33" fmla="*/ 990600 h 1457325"/>
                                          <a:gd name="connsiteX34" fmla="*/ 163778 w 1773503"/>
                                          <a:gd name="connsiteY34" fmla="*/ 1057275 h 1457325"/>
                                          <a:gd name="connsiteX35" fmla="*/ 154253 w 1773503"/>
                                          <a:gd name="connsiteY35" fmla="*/ 1238250 h 1457325"/>
                                          <a:gd name="connsiteX36" fmla="*/ 144728 w 1773503"/>
                                          <a:gd name="connsiteY36" fmla="*/ 1276350 h 1457325"/>
                                          <a:gd name="connsiteX37" fmla="*/ 173303 w 1773503"/>
                                          <a:gd name="connsiteY37" fmla="*/ 1285875 h 1457325"/>
                                          <a:gd name="connsiteX38" fmla="*/ 278078 w 1773503"/>
                                          <a:gd name="connsiteY38" fmla="*/ 1295400 h 1457325"/>
                                          <a:gd name="connsiteX39" fmla="*/ 297128 w 1773503"/>
                                          <a:gd name="connsiteY39" fmla="*/ 1323975 h 1457325"/>
                                          <a:gd name="connsiteX40" fmla="*/ 354278 w 1773503"/>
                                          <a:gd name="connsiteY40" fmla="*/ 1352550 h 1457325"/>
                                          <a:gd name="connsiteX41" fmla="*/ 401903 w 1773503"/>
                                          <a:gd name="connsiteY41" fmla="*/ 1362075 h 1457325"/>
                                          <a:gd name="connsiteX42" fmla="*/ 430478 w 1773503"/>
                                          <a:gd name="connsiteY42" fmla="*/ 1371600 h 1457325"/>
                                          <a:gd name="connsiteX43" fmla="*/ 544778 w 1773503"/>
                                          <a:gd name="connsiteY43" fmla="*/ 1381125 h 1457325"/>
                                          <a:gd name="connsiteX44" fmla="*/ 573353 w 1773503"/>
                                          <a:gd name="connsiteY44" fmla="*/ 1390650 h 1457325"/>
                                          <a:gd name="connsiteX45" fmla="*/ 640028 w 1773503"/>
                                          <a:gd name="connsiteY45" fmla="*/ 1400175 h 1457325"/>
                                          <a:gd name="connsiteX46" fmla="*/ 659078 w 1773503"/>
                                          <a:gd name="connsiteY46" fmla="*/ 1457325 h 1457325"/>
                                          <a:gd name="connsiteX47" fmla="*/ 716228 w 1773503"/>
                                          <a:gd name="connsiteY47" fmla="*/ 1447800 h 1457325"/>
                                          <a:gd name="connsiteX48" fmla="*/ 735278 w 1773503"/>
                                          <a:gd name="connsiteY48" fmla="*/ 1409700 h 1457325"/>
                                          <a:gd name="connsiteX49" fmla="*/ 754328 w 1773503"/>
                                          <a:gd name="connsiteY49" fmla="*/ 1381125 h 1457325"/>
                                          <a:gd name="connsiteX50" fmla="*/ 897203 w 1773503"/>
                                          <a:gd name="connsiteY50" fmla="*/ 1390650 h 1457325"/>
                                          <a:gd name="connsiteX51" fmla="*/ 925778 w 1773503"/>
                                          <a:gd name="connsiteY51" fmla="*/ 1400175 h 1457325"/>
                                          <a:gd name="connsiteX52" fmla="*/ 1030553 w 1773503"/>
                                          <a:gd name="connsiteY52" fmla="*/ 1390650 h 1457325"/>
                                          <a:gd name="connsiteX53" fmla="*/ 1049603 w 1773503"/>
                                          <a:gd name="connsiteY53" fmla="*/ 1362075 h 1457325"/>
                                          <a:gd name="connsiteX54" fmla="*/ 1135328 w 1773503"/>
                                          <a:gd name="connsiteY54" fmla="*/ 1381125 h 1457325"/>
                                          <a:gd name="connsiteX55" fmla="*/ 1154378 w 1773503"/>
                                          <a:gd name="connsiteY55" fmla="*/ 1409700 h 1457325"/>
                                          <a:gd name="connsiteX56" fmla="*/ 1278203 w 1773503"/>
                                          <a:gd name="connsiteY56" fmla="*/ 1390650 h 1457325"/>
                                          <a:gd name="connsiteX57" fmla="*/ 1306778 w 1773503"/>
                                          <a:gd name="connsiteY57" fmla="*/ 1304925 h 1457325"/>
                                          <a:gd name="connsiteX58" fmla="*/ 1344878 w 1773503"/>
                                          <a:gd name="connsiteY58" fmla="*/ 1247775 h 1457325"/>
                                          <a:gd name="connsiteX59" fmla="*/ 1354403 w 1773503"/>
                                          <a:gd name="connsiteY59" fmla="*/ 1219200 h 1457325"/>
                                          <a:gd name="connsiteX60" fmla="*/ 1382978 w 1773503"/>
                                          <a:gd name="connsiteY60" fmla="*/ 1238250 h 1457325"/>
                                          <a:gd name="connsiteX61" fmla="*/ 1411553 w 1773503"/>
                                          <a:gd name="connsiteY61" fmla="*/ 1133475 h 1457325"/>
                                          <a:gd name="connsiteX62" fmla="*/ 1392503 w 1773503"/>
                                          <a:gd name="connsiteY62" fmla="*/ 1104900 h 1457325"/>
                                          <a:gd name="connsiteX63" fmla="*/ 1382978 w 1773503"/>
                                          <a:gd name="connsiteY63" fmla="*/ 1076325 h 1457325"/>
                                          <a:gd name="connsiteX64" fmla="*/ 1392503 w 1773503"/>
                                          <a:gd name="connsiteY64" fmla="*/ 1000125 h 1457325"/>
                                          <a:gd name="connsiteX65" fmla="*/ 1478228 w 1773503"/>
                                          <a:gd name="connsiteY65" fmla="*/ 1066800 h 1457325"/>
                                          <a:gd name="connsiteX66" fmla="*/ 1563953 w 1773503"/>
                                          <a:gd name="connsiteY66" fmla="*/ 1047750 h 1457325"/>
                                          <a:gd name="connsiteX67" fmla="*/ 1592528 w 1773503"/>
                                          <a:gd name="connsiteY67" fmla="*/ 1028700 h 1457325"/>
                                          <a:gd name="connsiteX68" fmla="*/ 1602053 w 1773503"/>
                                          <a:gd name="connsiteY68" fmla="*/ 904875 h 1457325"/>
                                          <a:gd name="connsiteX69" fmla="*/ 1563953 w 1773503"/>
                                          <a:gd name="connsiteY69" fmla="*/ 847725 h 1457325"/>
                                          <a:gd name="connsiteX70" fmla="*/ 1554428 w 1773503"/>
                                          <a:gd name="connsiteY70" fmla="*/ 800100 h 1457325"/>
                                          <a:gd name="connsiteX71" fmla="*/ 1563953 w 1773503"/>
                                          <a:gd name="connsiteY71" fmla="*/ 685800 h 1457325"/>
                                          <a:gd name="connsiteX72" fmla="*/ 1602053 w 1773503"/>
                                          <a:gd name="connsiteY72" fmla="*/ 676275 h 1457325"/>
                                          <a:gd name="connsiteX73" fmla="*/ 1687778 w 1773503"/>
                                          <a:gd name="connsiteY73" fmla="*/ 666750 h 1457325"/>
                                          <a:gd name="connsiteX74" fmla="*/ 1697303 w 1773503"/>
                                          <a:gd name="connsiteY74" fmla="*/ 590550 h 1457325"/>
                                          <a:gd name="connsiteX75" fmla="*/ 1735403 w 1773503"/>
                                          <a:gd name="connsiteY75" fmla="*/ 581025 h 1457325"/>
                                          <a:gd name="connsiteX76" fmla="*/ 1754453 w 1773503"/>
                                          <a:gd name="connsiteY76" fmla="*/ 552450 h 1457325"/>
                                          <a:gd name="connsiteX77" fmla="*/ 1763978 w 1773503"/>
                                          <a:gd name="connsiteY77" fmla="*/ 504825 h 1457325"/>
                                          <a:gd name="connsiteX78" fmla="*/ 1773503 w 1773503"/>
                                          <a:gd name="connsiteY78" fmla="*/ 476250 h 1457325"/>
                                          <a:gd name="connsiteX79" fmla="*/ 1763978 w 1773503"/>
                                          <a:gd name="connsiteY79" fmla="*/ 447675 h 1457325"/>
                                          <a:gd name="connsiteX80" fmla="*/ 1706828 w 1773503"/>
                                          <a:gd name="connsiteY80" fmla="*/ 400050 h 1457325"/>
                                          <a:gd name="connsiteX81" fmla="*/ 1697303 w 1773503"/>
                                          <a:gd name="connsiteY81" fmla="*/ 371475 h 1457325"/>
                                          <a:gd name="connsiteX82" fmla="*/ 1535378 w 1773503"/>
                                          <a:gd name="connsiteY82" fmla="*/ 361950 h 1457325"/>
                                          <a:gd name="connsiteX83" fmla="*/ 1506803 w 1773503"/>
                                          <a:gd name="connsiteY83" fmla="*/ 390525 h 1457325"/>
                                          <a:gd name="connsiteX84" fmla="*/ 1430603 w 1773503"/>
                                          <a:gd name="connsiteY84" fmla="*/ 390525 h 1457325"/>
                                          <a:gd name="connsiteX85" fmla="*/ 1392503 w 1773503"/>
                                          <a:gd name="connsiteY85" fmla="*/ 381000 h 1457325"/>
                                          <a:gd name="connsiteX86" fmla="*/ 1373453 w 1773503"/>
                                          <a:gd name="connsiteY86" fmla="*/ 323850 h 1457325"/>
                                          <a:gd name="connsiteX87" fmla="*/ 1344878 w 1773503"/>
                                          <a:gd name="connsiteY87" fmla="*/ 295275 h 1457325"/>
                                          <a:gd name="connsiteX88" fmla="*/ 1240103 w 1773503"/>
                                          <a:gd name="connsiteY88" fmla="*/ 276225 h 1457325"/>
                                          <a:gd name="connsiteX89" fmla="*/ 1163903 w 1773503"/>
                                          <a:gd name="connsiteY89" fmla="*/ 142875 h 1457325"/>
                                          <a:gd name="connsiteX90" fmla="*/ 1135328 w 1773503"/>
                                          <a:gd name="connsiteY90" fmla="*/ 133350 h 1457325"/>
                                          <a:gd name="connsiteX91" fmla="*/ 1116278 w 1773503"/>
                                          <a:gd name="connsiteY91" fmla="*/ 95250 h 1457325"/>
                                          <a:gd name="connsiteX92" fmla="*/ 878153 w 1773503"/>
                                          <a:gd name="connsiteY92" fmla="*/ 28575 h 1457325"/>
                                          <a:gd name="connsiteX93" fmla="*/ 811478 w 1773503"/>
                                          <a:gd name="connsiteY93" fmla="*/ 0 h 1457325"/>
                                          <a:gd name="connsiteX94" fmla="*/ 773378 w 1773503"/>
                                          <a:gd name="connsiteY94" fmla="*/ 9525 h 1457325"/>
                                          <a:gd name="connsiteX95" fmla="*/ 782903 w 1773503"/>
                                          <a:gd name="connsiteY95" fmla="*/ 28575 h 14573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Lst>
                                        <a:rect l="l" t="t" r="r" b="b"/>
                                        <a:pathLst>
                                          <a:path w="1773503" h="1457325">
                                            <a:moveTo>
                                              <a:pt x="782903" y="28575"/>
                                            </a:moveTo>
                                            <a:cubicBezTo>
                                              <a:pt x="768615" y="33338"/>
                                              <a:pt x="708419" y="13873"/>
                                              <a:pt x="687653" y="38100"/>
                                            </a:cubicBezTo>
                                            <a:cubicBezTo>
                                              <a:pt x="672753" y="55483"/>
                                              <a:pt x="725753" y="95250"/>
                                              <a:pt x="725753" y="95250"/>
                                            </a:cubicBezTo>
                                            <a:cubicBezTo>
                                              <a:pt x="722578" y="107950"/>
                                              <a:pt x="719068" y="120571"/>
                                              <a:pt x="716228" y="133350"/>
                                            </a:cubicBezTo>
                                            <a:cubicBezTo>
                                              <a:pt x="712716" y="149154"/>
                                              <a:pt x="718151" y="169527"/>
                                              <a:pt x="706703" y="180975"/>
                                            </a:cubicBezTo>
                                            <a:cubicBezTo>
                                              <a:pt x="698816" y="188862"/>
                                              <a:pt x="650512" y="153039"/>
                                              <a:pt x="649553" y="152400"/>
                                            </a:cubicBezTo>
                                            <a:cubicBezTo>
                                              <a:pt x="562247" y="174226"/>
                                              <a:pt x="595138" y="185973"/>
                                              <a:pt x="544778" y="152400"/>
                                            </a:cubicBezTo>
                                            <a:cubicBezTo>
                                              <a:pt x="520378" y="115799"/>
                                              <a:pt x="523131" y="101311"/>
                                              <a:pt x="459053" y="133350"/>
                                            </a:cubicBezTo>
                                            <a:cubicBezTo>
                                              <a:pt x="450073" y="137840"/>
                                              <a:pt x="457368" y="155653"/>
                                              <a:pt x="449528" y="161925"/>
                                            </a:cubicBezTo>
                                            <a:cubicBezTo>
                                              <a:pt x="439306" y="170103"/>
                                              <a:pt x="424128" y="168275"/>
                                              <a:pt x="411428" y="171450"/>
                                            </a:cubicBezTo>
                                            <a:cubicBezTo>
                                              <a:pt x="388590" y="239963"/>
                                              <a:pt x="416298" y="154404"/>
                                              <a:pt x="392378" y="238125"/>
                                            </a:cubicBezTo>
                                            <a:cubicBezTo>
                                              <a:pt x="389620" y="247779"/>
                                              <a:pt x="389125" y="258860"/>
                                              <a:pt x="382853" y="266700"/>
                                            </a:cubicBezTo>
                                            <a:cubicBezTo>
                                              <a:pt x="375702" y="275639"/>
                                              <a:pt x="363803" y="279400"/>
                                              <a:pt x="354278" y="285750"/>
                                            </a:cubicBezTo>
                                            <a:cubicBezTo>
                                              <a:pt x="338724" y="309081"/>
                                              <a:pt x="325703" y="321671"/>
                                              <a:pt x="325703" y="352425"/>
                                            </a:cubicBezTo>
                                            <a:cubicBezTo>
                                              <a:pt x="325703" y="362465"/>
                                              <a:pt x="332053" y="371475"/>
                                              <a:pt x="335228" y="381000"/>
                                            </a:cubicBezTo>
                                            <a:cubicBezTo>
                                              <a:pt x="332053" y="396875"/>
                                              <a:pt x="334683" y="415155"/>
                                              <a:pt x="325703" y="428625"/>
                                            </a:cubicBezTo>
                                            <a:cubicBezTo>
                                              <a:pt x="320134" y="436979"/>
                                              <a:pt x="307051" y="436623"/>
                                              <a:pt x="297128" y="438150"/>
                                            </a:cubicBezTo>
                                            <a:cubicBezTo>
                                              <a:pt x="265591" y="443002"/>
                                              <a:pt x="233628" y="444500"/>
                                              <a:pt x="201878" y="447675"/>
                                            </a:cubicBezTo>
                                            <a:cubicBezTo>
                                              <a:pt x="192353" y="454025"/>
                                              <a:pt x="180632" y="457931"/>
                                              <a:pt x="173303" y="466725"/>
                                            </a:cubicBezTo>
                                            <a:cubicBezTo>
                                              <a:pt x="164213" y="477633"/>
                                              <a:pt x="166294" y="497300"/>
                                              <a:pt x="154253" y="504825"/>
                                            </a:cubicBezTo>
                                            <a:cubicBezTo>
                                              <a:pt x="137876" y="515061"/>
                                              <a:pt x="116191" y="511413"/>
                                              <a:pt x="97103" y="514350"/>
                                            </a:cubicBezTo>
                                            <a:cubicBezTo>
                                              <a:pt x="74913" y="517764"/>
                                              <a:pt x="52653" y="520700"/>
                                              <a:pt x="30428" y="523875"/>
                                            </a:cubicBezTo>
                                            <a:cubicBezTo>
                                              <a:pt x="36778" y="549275"/>
                                              <a:pt x="40531" y="575470"/>
                                              <a:pt x="49478" y="600075"/>
                                            </a:cubicBezTo>
                                            <a:cubicBezTo>
                                              <a:pt x="53390" y="610833"/>
                                              <a:pt x="63408" y="618411"/>
                                              <a:pt x="68528" y="628650"/>
                                            </a:cubicBezTo>
                                            <a:cubicBezTo>
                                              <a:pt x="73018" y="637630"/>
                                              <a:pt x="74878" y="647700"/>
                                              <a:pt x="78053" y="657225"/>
                                            </a:cubicBezTo>
                                            <a:cubicBezTo>
                                              <a:pt x="74878" y="676275"/>
                                              <a:pt x="83062" y="701657"/>
                                              <a:pt x="68528" y="714375"/>
                                            </a:cubicBezTo>
                                            <a:cubicBezTo>
                                              <a:pt x="51632" y="729159"/>
                                              <a:pt x="19814" y="710430"/>
                                              <a:pt x="1853" y="723900"/>
                                            </a:cubicBezTo>
                                            <a:cubicBezTo>
                                              <a:pt x="-7305" y="730769"/>
                                              <a:pt x="19906" y="738441"/>
                                              <a:pt x="30428" y="742950"/>
                                            </a:cubicBezTo>
                                            <a:cubicBezTo>
                                              <a:pt x="42460" y="748107"/>
                                              <a:pt x="55828" y="749300"/>
                                              <a:pt x="68528" y="752475"/>
                                            </a:cubicBezTo>
                                            <a:cubicBezTo>
                                              <a:pt x="65353" y="806450"/>
                                              <a:pt x="75130" y="862793"/>
                                              <a:pt x="59003" y="914400"/>
                                            </a:cubicBezTo>
                                            <a:cubicBezTo>
                                              <a:pt x="53701" y="931368"/>
                                              <a:pt x="-28382" y="872019"/>
                                              <a:pt x="49478" y="923925"/>
                                            </a:cubicBezTo>
                                            <a:cubicBezTo>
                                              <a:pt x="55828" y="933450"/>
                                              <a:pt x="59003" y="946150"/>
                                              <a:pt x="68528" y="952500"/>
                                            </a:cubicBezTo>
                                            <a:cubicBezTo>
                                              <a:pt x="74293" y="956343"/>
                                              <a:pt x="153203" y="971340"/>
                                              <a:pt x="154253" y="971550"/>
                                            </a:cubicBezTo>
                                            <a:cubicBezTo>
                                              <a:pt x="163778" y="977900"/>
                                              <a:pt x="179208" y="979740"/>
                                              <a:pt x="182828" y="990600"/>
                                            </a:cubicBezTo>
                                            <a:cubicBezTo>
                                              <a:pt x="184821" y="996580"/>
                                              <a:pt x="166741" y="1048386"/>
                                              <a:pt x="163778" y="1057275"/>
                                            </a:cubicBezTo>
                                            <a:cubicBezTo>
                                              <a:pt x="160603" y="1117600"/>
                                              <a:pt x="159486" y="1178069"/>
                                              <a:pt x="154253" y="1238250"/>
                                            </a:cubicBezTo>
                                            <a:cubicBezTo>
                                              <a:pt x="153119" y="1251292"/>
                                              <a:pt x="139866" y="1264195"/>
                                              <a:pt x="144728" y="1276350"/>
                                            </a:cubicBezTo>
                                            <a:cubicBezTo>
                                              <a:pt x="148457" y="1285672"/>
                                              <a:pt x="163364" y="1284455"/>
                                              <a:pt x="173303" y="1285875"/>
                                            </a:cubicBezTo>
                                            <a:cubicBezTo>
                                              <a:pt x="208020" y="1290835"/>
                                              <a:pt x="243153" y="1292225"/>
                                              <a:pt x="278078" y="1295400"/>
                                            </a:cubicBezTo>
                                            <a:cubicBezTo>
                                              <a:pt x="284428" y="1304925"/>
                                              <a:pt x="289033" y="1315880"/>
                                              <a:pt x="297128" y="1323975"/>
                                            </a:cubicBezTo>
                                            <a:cubicBezTo>
                                              <a:pt x="312648" y="1339495"/>
                                              <a:pt x="333620" y="1347385"/>
                                              <a:pt x="354278" y="1352550"/>
                                            </a:cubicBezTo>
                                            <a:cubicBezTo>
                                              <a:pt x="369984" y="1356477"/>
                                              <a:pt x="386197" y="1358148"/>
                                              <a:pt x="401903" y="1362075"/>
                                            </a:cubicBezTo>
                                            <a:cubicBezTo>
                                              <a:pt x="411643" y="1364510"/>
                                              <a:pt x="420526" y="1370273"/>
                                              <a:pt x="430478" y="1371600"/>
                                            </a:cubicBezTo>
                                            <a:cubicBezTo>
                                              <a:pt x="468375" y="1376653"/>
                                              <a:pt x="506678" y="1377950"/>
                                              <a:pt x="544778" y="1381125"/>
                                            </a:cubicBezTo>
                                            <a:cubicBezTo>
                                              <a:pt x="554303" y="1384300"/>
                                              <a:pt x="563508" y="1388681"/>
                                              <a:pt x="573353" y="1390650"/>
                                            </a:cubicBezTo>
                                            <a:cubicBezTo>
                                              <a:pt x="595368" y="1395053"/>
                                              <a:pt x="622307" y="1386392"/>
                                              <a:pt x="640028" y="1400175"/>
                                            </a:cubicBezTo>
                                            <a:cubicBezTo>
                                              <a:pt x="655879" y="1412503"/>
                                              <a:pt x="659078" y="1457325"/>
                                              <a:pt x="659078" y="1457325"/>
                                            </a:cubicBezTo>
                                            <a:cubicBezTo>
                                              <a:pt x="678128" y="1454150"/>
                                              <a:pt x="699851" y="1458036"/>
                                              <a:pt x="716228" y="1447800"/>
                                            </a:cubicBezTo>
                                            <a:cubicBezTo>
                                              <a:pt x="728269" y="1440275"/>
                                              <a:pt x="728233" y="1422028"/>
                                              <a:pt x="735278" y="1409700"/>
                                            </a:cubicBezTo>
                                            <a:cubicBezTo>
                                              <a:pt x="740958" y="1399761"/>
                                              <a:pt x="747978" y="1390650"/>
                                              <a:pt x="754328" y="1381125"/>
                                            </a:cubicBezTo>
                                            <a:cubicBezTo>
                                              <a:pt x="801953" y="1384300"/>
                                              <a:pt x="849764" y="1385379"/>
                                              <a:pt x="897203" y="1390650"/>
                                            </a:cubicBezTo>
                                            <a:cubicBezTo>
                                              <a:pt x="907182" y="1391759"/>
                                              <a:pt x="915738" y="1400175"/>
                                              <a:pt x="925778" y="1400175"/>
                                            </a:cubicBezTo>
                                            <a:cubicBezTo>
                                              <a:pt x="960847" y="1400175"/>
                                              <a:pt x="995628" y="1393825"/>
                                              <a:pt x="1030553" y="1390650"/>
                                            </a:cubicBezTo>
                                            <a:cubicBezTo>
                                              <a:pt x="1036903" y="1381125"/>
                                              <a:pt x="1038497" y="1364851"/>
                                              <a:pt x="1049603" y="1362075"/>
                                            </a:cubicBezTo>
                                            <a:cubicBezTo>
                                              <a:pt x="1068761" y="1357285"/>
                                              <a:pt x="1113331" y="1373793"/>
                                              <a:pt x="1135328" y="1381125"/>
                                            </a:cubicBezTo>
                                            <a:cubicBezTo>
                                              <a:pt x="1141678" y="1390650"/>
                                              <a:pt x="1143086" y="1407818"/>
                                              <a:pt x="1154378" y="1409700"/>
                                            </a:cubicBezTo>
                                            <a:cubicBezTo>
                                              <a:pt x="1203490" y="1417885"/>
                                              <a:pt x="1237018" y="1404378"/>
                                              <a:pt x="1278203" y="1390650"/>
                                            </a:cubicBezTo>
                                            <a:cubicBezTo>
                                              <a:pt x="1335012" y="1305437"/>
                                              <a:pt x="1249743" y="1441809"/>
                                              <a:pt x="1306778" y="1304925"/>
                                            </a:cubicBezTo>
                                            <a:cubicBezTo>
                                              <a:pt x="1315584" y="1283791"/>
                                              <a:pt x="1337638" y="1269495"/>
                                              <a:pt x="1344878" y="1247775"/>
                                            </a:cubicBezTo>
                                            <a:lnTo>
                                              <a:pt x="1354403" y="1219200"/>
                                            </a:lnTo>
                                            <a:cubicBezTo>
                                              <a:pt x="1363928" y="1225550"/>
                                              <a:pt x="1371645" y="1236631"/>
                                              <a:pt x="1382978" y="1238250"/>
                                            </a:cubicBezTo>
                                            <a:cubicBezTo>
                                              <a:pt x="1452501" y="1248182"/>
                                              <a:pt x="1421242" y="1175463"/>
                                              <a:pt x="1411553" y="1133475"/>
                                            </a:cubicBezTo>
                                            <a:cubicBezTo>
                                              <a:pt x="1408979" y="1122321"/>
                                              <a:pt x="1397623" y="1115139"/>
                                              <a:pt x="1392503" y="1104900"/>
                                            </a:cubicBezTo>
                                            <a:cubicBezTo>
                                              <a:pt x="1388013" y="1095920"/>
                                              <a:pt x="1386153" y="1085850"/>
                                              <a:pt x="1382978" y="1076325"/>
                                            </a:cubicBezTo>
                                            <a:cubicBezTo>
                                              <a:pt x="1386153" y="1050925"/>
                                              <a:pt x="1372297" y="1015840"/>
                                              <a:pt x="1392503" y="1000125"/>
                                            </a:cubicBezTo>
                                            <a:cubicBezTo>
                                              <a:pt x="1475165" y="935833"/>
                                              <a:pt x="1474078" y="1041901"/>
                                              <a:pt x="1478228" y="1066800"/>
                                            </a:cubicBezTo>
                                            <a:cubicBezTo>
                                              <a:pt x="1500178" y="1063142"/>
                                              <a:pt x="1540505" y="1059474"/>
                                              <a:pt x="1563953" y="1047750"/>
                                            </a:cubicBezTo>
                                            <a:cubicBezTo>
                                              <a:pt x="1574192" y="1042630"/>
                                              <a:pt x="1583003" y="1035050"/>
                                              <a:pt x="1592528" y="1028700"/>
                                            </a:cubicBezTo>
                                            <a:cubicBezTo>
                                              <a:pt x="1609988" y="976320"/>
                                              <a:pt x="1624133" y="962283"/>
                                              <a:pt x="1602053" y="904875"/>
                                            </a:cubicBezTo>
                                            <a:cubicBezTo>
                                              <a:pt x="1593834" y="883506"/>
                                              <a:pt x="1563953" y="847725"/>
                                              <a:pt x="1563953" y="847725"/>
                                            </a:cubicBezTo>
                                            <a:cubicBezTo>
                                              <a:pt x="1560778" y="831850"/>
                                              <a:pt x="1554428" y="816289"/>
                                              <a:pt x="1554428" y="800100"/>
                                            </a:cubicBezTo>
                                            <a:cubicBezTo>
                                              <a:pt x="1554428" y="761868"/>
                                              <a:pt x="1550228" y="721484"/>
                                              <a:pt x="1563953" y="685800"/>
                                            </a:cubicBezTo>
                                            <a:cubicBezTo>
                                              <a:pt x="1568652" y="673582"/>
                                              <a:pt x="1589114" y="678266"/>
                                              <a:pt x="1602053" y="676275"/>
                                            </a:cubicBezTo>
                                            <a:cubicBezTo>
                                              <a:pt x="1630470" y="671903"/>
                                              <a:pt x="1659203" y="669925"/>
                                              <a:pt x="1687778" y="666750"/>
                                            </a:cubicBezTo>
                                            <a:cubicBezTo>
                                              <a:pt x="1690953" y="641350"/>
                                              <a:pt x="1684872" y="612926"/>
                                              <a:pt x="1697303" y="590550"/>
                                            </a:cubicBezTo>
                                            <a:cubicBezTo>
                                              <a:pt x="1703660" y="579107"/>
                                              <a:pt x="1724511" y="588287"/>
                                              <a:pt x="1735403" y="581025"/>
                                            </a:cubicBezTo>
                                            <a:cubicBezTo>
                                              <a:pt x="1744928" y="574675"/>
                                              <a:pt x="1748103" y="561975"/>
                                              <a:pt x="1754453" y="552450"/>
                                            </a:cubicBezTo>
                                            <a:cubicBezTo>
                                              <a:pt x="1757628" y="536575"/>
                                              <a:pt x="1760051" y="520531"/>
                                              <a:pt x="1763978" y="504825"/>
                                            </a:cubicBezTo>
                                            <a:cubicBezTo>
                                              <a:pt x="1766413" y="495085"/>
                                              <a:pt x="1773503" y="486290"/>
                                              <a:pt x="1773503" y="476250"/>
                                            </a:cubicBezTo>
                                            <a:cubicBezTo>
                                              <a:pt x="1773503" y="466210"/>
                                              <a:pt x="1769547" y="456029"/>
                                              <a:pt x="1763978" y="447675"/>
                                            </a:cubicBezTo>
                                            <a:cubicBezTo>
                                              <a:pt x="1749310" y="425673"/>
                                              <a:pt x="1727913" y="414107"/>
                                              <a:pt x="1706828" y="400050"/>
                                            </a:cubicBezTo>
                                            <a:cubicBezTo>
                                              <a:pt x="1703653" y="390525"/>
                                              <a:pt x="1703575" y="379315"/>
                                              <a:pt x="1697303" y="371475"/>
                                            </a:cubicBezTo>
                                            <a:cubicBezTo>
                                              <a:pt x="1660631" y="325636"/>
                                              <a:pt x="1567324" y="359668"/>
                                              <a:pt x="1535378" y="361950"/>
                                            </a:cubicBezTo>
                                            <a:cubicBezTo>
                                              <a:pt x="1525853" y="371475"/>
                                              <a:pt x="1518011" y="383053"/>
                                              <a:pt x="1506803" y="390525"/>
                                            </a:cubicBezTo>
                                            <a:cubicBezTo>
                                              <a:pt x="1480236" y="408237"/>
                                              <a:pt x="1460071" y="397073"/>
                                              <a:pt x="1430603" y="390525"/>
                                            </a:cubicBezTo>
                                            <a:cubicBezTo>
                                              <a:pt x="1417824" y="387685"/>
                                              <a:pt x="1405203" y="384175"/>
                                              <a:pt x="1392503" y="381000"/>
                                            </a:cubicBezTo>
                                            <a:cubicBezTo>
                                              <a:pt x="1386153" y="361950"/>
                                              <a:pt x="1387652" y="338049"/>
                                              <a:pt x="1373453" y="323850"/>
                                            </a:cubicBezTo>
                                            <a:cubicBezTo>
                                              <a:pt x="1363928" y="314325"/>
                                              <a:pt x="1356574" y="301958"/>
                                              <a:pt x="1344878" y="295275"/>
                                            </a:cubicBezTo>
                                            <a:cubicBezTo>
                                              <a:pt x="1329908" y="286721"/>
                                              <a:pt x="1242717" y="276598"/>
                                              <a:pt x="1240103" y="276225"/>
                                            </a:cubicBezTo>
                                            <a:cubicBezTo>
                                              <a:pt x="1225057" y="200997"/>
                                              <a:pt x="1241987" y="168903"/>
                                              <a:pt x="1163903" y="142875"/>
                                            </a:cubicBezTo>
                                            <a:lnTo>
                                              <a:pt x="1135328" y="133350"/>
                                            </a:lnTo>
                                            <a:cubicBezTo>
                                              <a:pt x="1128978" y="120650"/>
                                              <a:pt x="1125148" y="106338"/>
                                              <a:pt x="1116278" y="95250"/>
                                            </a:cubicBezTo>
                                            <a:cubicBezTo>
                                              <a:pt x="1037264" y="-3518"/>
                                              <a:pt x="1039278" y="37055"/>
                                              <a:pt x="878153" y="28575"/>
                                            </a:cubicBezTo>
                                            <a:cubicBezTo>
                                              <a:pt x="870714" y="24855"/>
                                              <a:pt x="825493" y="0"/>
                                              <a:pt x="811478" y="0"/>
                                            </a:cubicBezTo>
                                            <a:cubicBezTo>
                                              <a:pt x="798387" y="0"/>
                                              <a:pt x="785533" y="4663"/>
                                              <a:pt x="773378" y="9525"/>
                                            </a:cubicBezTo>
                                            <a:cubicBezTo>
                                              <a:pt x="769209" y="11193"/>
                                              <a:pt x="797191" y="23812"/>
                                              <a:pt x="782903" y="28575"/>
                                            </a:cubicBezTo>
                                            <a:close/>
                                          </a:path>
                                        </a:pathLst>
                                      </a:custGeom>
                                      <a:solidFill>
                                        <a:schemeClr val="accent3">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a:solidFill>
                                              <a:sysClr val="windowText" lastClr="000000"/>
                                            </a:solidFill>
                                          </a:rPr>
                                          <a:t>San Juan</a:t>
                                        </a:r>
                                      </a:p>
                                      <a:p>
                                        <a:pPr algn="ctr"/>
                                        <a:r>
                                          <a:rPr lang="es-ES" sz="1100" b="1">
                                            <a:solidFill>
                                              <a:sysClr val="windowText" lastClr="000000"/>
                                            </a:solidFill>
                                          </a:rPr>
                                          <a:t>23,685</a:t>
                                        </a:r>
                                      </a:p>
                                      <a:p>
                                        <a:pPr algn="ctr"/>
                                        <a:r>
                                          <a:rPr lang="es-ES" sz="1100" b="1">
                                            <a:solidFill>
                                              <a:sysClr val="windowText" lastClr="000000"/>
                                            </a:solidFill>
                                          </a:rPr>
                                          <a:t>0.8%</a:t>
                                        </a:r>
                                      </a:p>
                                    </xdr:txBody>
                                  </xdr:sp>
                                  <xdr:sp macro="" textlink="">
                                    <xdr:nvSpPr>
                                      <xdr:cNvPr id="51" name="Forma libre 50"/>
                                      <xdr:cNvSpPr/>
                                    </xdr:nvSpPr>
                                    <xdr:spPr>
                                      <a:xfrm>
                                        <a:off x="342289" y="1609725"/>
                                        <a:ext cx="1334111" cy="1543050"/>
                                      </a:xfrm>
                                      <a:custGeom>
                                        <a:avLst/>
                                        <a:gdLst>
                                          <a:gd name="connsiteX0" fmla="*/ 1048361 w 1334111"/>
                                          <a:gd name="connsiteY0" fmla="*/ 390525 h 1543050"/>
                                          <a:gd name="connsiteX1" fmla="*/ 1105511 w 1334111"/>
                                          <a:gd name="connsiteY1" fmla="*/ 352425 h 1543050"/>
                                          <a:gd name="connsiteX2" fmla="*/ 1200761 w 1334111"/>
                                          <a:gd name="connsiteY2" fmla="*/ 381000 h 1543050"/>
                                          <a:gd name="connsiteX3" fmla="*/ 1219811 w 1334111"/>
                                          <a:gd name="connsiteY3" fmla="*/ 409575 h 1543050"/>
                                          <a:gd name="connsiteX4" fmla="*/ 1276961 w 1334111"/>
                                          <a:gd name="connsiteY4" fmla="*/ 428625 h 1543050"/>
                                          <a:gd name="connsiteX5" fmla="*/ 1286486 w 1334111"/>
                                          <a:gd name="connsiteY5" fmla="*/ 400050 h 1543050"/>
                                          <a:gd name="connsiteX6" fmla="*/ 1296011 w 1334111"/>
                                          <a:gd name="connsiteY6" fmla="*/ 276225 h 1543050"/>
                                          <a:gd name="connsiteX7" fmla="*/ 1334111 w 1334111"/>
                                          <a:gd name="connsiteY7" fmla="*/ 257175 h 1543050"/>
                                          <a:gd name="connsiteX8" fmla="*/ 1315061 w 1334111"/>
                                          <a:gd name="connsiteY8" fmla="*/ 228600 h 1543050"/>
                                          <a:gd name="connsiteX9" fmla="*/ 1305536 w 1334111"/>
                                          <a:gd name="connsiteY9" fmla="*/ 190500 h 1543050"/>
                                          <a:gd name="connsiteX10" fmla="*/ 1257911 w 1334111"/>
                                          <a:gd name="connsiteY10" fmla="*/ 180975 h 1543050"/>
                                          <a:gd name="connsiteX11" fmla="*/ 1229336 w 1334111"/>
                                          <a:gd name="connsiteY11" fmla="*/ 171450 h 1543050"/>
                                          <a:gd name="connsiteX12" fmla="*/ 1200761 w 1334111"/>
                                          <a:gd name="connsiteY12" fmla="*/ 152400 h 1543050"/>
                                          <a:gd name="connsiteX13" fmla="*/ 1143611 w 1334111"/>
                                          <a:gd name="connsiteY13" fmla="*/ 104775 h 1543050"/>
                                          <a:gd name="connsiteX14" fmla="*/ 1105511 w 1334111"/>
                                          <a:gd name="connsiteY14" fmla="*/ 95250 h 1543050"/>
                                          <a:gd name="connsiteX15" fmla="*/ 1076936 w 1334111"/>
                                          <a:gd name="connsiteY15" fmla="*/ 85725 h 1543050"/>
                                          <a:gd name="connsiteX16" fmla="*/ 962636 w 1334111"/>
                                          <a:gd name="connsiteY16" fmla="*/ 66675 h 1543050"/>
                                          <a:gd name="connsiteX17" fmla="*/ 934061 w 1334111"/>
                                          <a:gd name="connsiteY17" fmla="*/ 38100 h 1543050"/>
                                          <a:gd name="connsiteX18" fmla="*/ 905486 w 1334111"/>
                                          <a:gd name="connsiteY18" fmla="*/ 28575 h 1543050"/>
                                          <a:gd name="connsiteX19" fmla="*/ 781661 w 1334111"/>
                                          <a:gd name="connsiteY19" fmla="*/ 0 h 1543050"/>
                                          <a:gd name="connsiteX20" fmla="*/ 743561 w 1334111"/>
                                          <a:gd name="connsiteY20" fmla="*/ 9525 h 1543050"/>
                                          <a:gd name="connsiteX21" fmla="*/ 714986 w 1334111"/>
                                          <a:gd name="connsiteY21" fmla="*/ 38100 h 1543050"/>
                                          <a:gd name="connsiteX22" fmla="*/ 686411 w 1334111"/>
                                          <a:gd name="connsiteY22" fmla="*/ 57150 h 1543050"/>
                                          <a:gd name="connsiteX23" fmla="*/ 619736 w 1334111"/>
                                          <a:gd name="connsiteY23" fmla="*/ 76200 h 1543050"/>
                                          <a:gd name="connsiteX24" fmla="*/ 610211 w 1334111"/>
                                          <a:gd name="connsiteY24" fmla="*/ 104775 h 1543050"/>
                                          <a:gd name="connsiteX25" fmla="*/ 619736 w 1334111"/>
                                          <a:gd name="connsiteY25" fmla="*/ 180975 h 1543050"/>
                                          <a:gd name="connsiteX26" fmla="*/ 591161 w 1334111"/>
                                          <a:gd name="connsiteY26" fmla="*/ 190500 h 1543050"/>
                                          <a:gd name="connsiteX27" fmla="*/ 610211 w 1334111"/>
                                          <a:gd name="connsiteY27" fmla="*/ 219075 h 1543050"/>
                                          <a:gd name="connsiteX28" fmla="*/ 562586 w 1334111"/>
                                          <a:gd name="connsiteY28" fmla="*/ 276225 h 1543050"/>
                                          <a:gd name="connsiteX29" fmla="*/ 553061 w 1334111"/>
                                          <a:gd name="connsiteY29" fmla="*/ 361950 h 1543050"/>
                                          <a:gd name="connsiteX30" fmla="*/ 514961 w 1334111"/>
                                          <a:gd name="connsiteY30" fmla="*/ 381000 h 1543050"/>
                                          <a:gd name="connsiteX31" fmla="*/ 457811 w 1334111"/>
                                          <a:gd name="connsiteY31" fmla="*/ 400050 h 1543050"/>
                                          <a:gd name="connsiteX32" fmla="*/ 457811 w 1334111"/>
                                          <a:gd name="connsiteY32" fmla="*/ 485775 h 1543050"/>
                                          <a:gd name="connsiteX33" fmla="*/ 429236 w 1334111"/>
                                          <a:gd name="connsiteY33" fmla="*/ 495300 h 1543050"/>
                                          <a:gd name="connsiteX34" fmla="*/ 391136 w 1334111"/>
                                          <a:gd name="connsiteY34" fmla="*/ 504825 h 1543050"/>
                                          <a:gd name="connsiteX35" fmla="*/ 381611 w 1334111"/>
                                          <a:gd name="connsiteY35" fmla="*/ 561975 h 1543050"/>
                                          <a:gd name="connsiteX36" fmla="*/ 248261 w 1334111"/>
                                          <a:gd name="connsiteY36" fmla="*/ 571500 h 1543050"/>
                                          <a:gd name="connsiteX37" fmla="*/ 257786 w 1334111"/>
                                          <a:gd name="connsiteY37" fmla="*/ 609600 h 1543050"/>
                                          <a:gd name="connsiteX38" fmla="*/ 248261 w 1334111"/>
                                          <a:gd name="connsiteY38" fmla="*/ 647700 h 1543050"/>
                                          <a:gd name="connsiteX39" fmla="*/ 191111 w 1334111"/>
                                          <a:gd name="connsiteY39" fmla="*/ 676275 h 1543050"/>
                                          <a:gd name="connsiteX40" fmla="*/ 153011 w 1334111"/>
                                          <a:gd name="connsiteY40" fmla="*/ 733425 h 1543050"/>
                                          <a:gd name="connsiteX41" fmla="*/ 124436 w 1334111"/>
                                          <a:gd name="connsiteY41" fmla="*/ 714375 h 1543050"/>
                                          <a:gd name="connsiteX42" fmla="*/ 105386 w 1334111"/>
                                          <a:gd name="connsiteY42" fmla="*/ 685800 h 1543050"/>
                                          <a:gd name="connsiteX43" fmla="*/ 19661 w 1334111"/>
                                          <a:gd name="connsiteY43" fmla="*/ 723900 h 1543050"/>
                                          <a:gd name="connsiteX44" fmla="*/ 611 w 1334111"/>
                                          <a:gd name="connsiteY44" fmla="*/ 752475 h 1543050"/>
                                          <a:gd name="connsiteX45" fmla="*/ 10136 w 1334111"/>
                                          <a:gd name="connsiteY45" fmla="*/ 781050 h 1543050"/>
                                          <a:gd name="connsiteX46" fmla="*/ 143486 w 1334111"/>
                                          <a:gd name="connsiteY46" fmla="*/ 771525 h 1543050"/>
                                          <a:gd name="connsiteX47" fmla="*/ 172061 w 1334111"/>
                                          <a:gd name="connsiteY47" fmla="*/ 762000 h 1543050"/>
                                          <a:gd name="connsiteX48" fmla="*/ 200636 w 1334111"/>
                                          <a:gd name="connsiteY48" fmla="*/ 781050 h 1543050"/>
                                          <a:gd name="connsiteX49" fmla="*/ 248261 w 1334111"/>
                                          <a:gd name="connsiteY49" fmla="*/ 800100 h 1543050"/>
                                          <a:gd name="connsiteX50" fmla="*/ 257786 w 1334111"/>
                                          <a:gd name="connsiteY50" fmla="*/ 828675 h 1543050"/>
                                          <a:gd name="connsiteX51" fmla="*/ 267311 w 1334111"/>
                                          <a:gd name="connsiteY51" fmla="*/ 866775 h 1543050"/>
                                          <a:gd name="connsiteX52" fmla="*/ 286361 w 1334111"/>
                                          <a:gd name="connsiteY52" fmla="*/ 895350 h 1543050"/>
                                          <a:gd name="connsiteX53" fmla="*/ 295886 w 1334111"/>
                                          <a:gd name="connsiteY53" fmla="*/ 952500 h 1543050"/>
                                          <a:gd name="connsiteX54" fmla="*/ 324461 w 1334111"/>
                                          <a:gd name="connsiteY54" fmla="*/ 962025 h 1543050"/>
                                          <a:gd name="connsiteX55" fmla="*/ 372086 w 1334111"/>
                                          <a:gd name="connsiteY55" fmla="*/ 971550 h 1543050"/>
                                          <a:gd name="connsiteX56" fmla="*/ 381611 w 1334111"/>
                                          <a:gd name="connsiteY56" fmla="*/ 1123950 h 1543050"/>
                                          <a:gd name="connsiteX57" fmla="*/ 343511 w 1334111"/>
                                          <a:gd name="connsiteY57" fmla="*/ 1343025 h 1543050"/>
                                          <a:gd name="connsiteX58" fmla="*/ 314936 w 1334111"/>
                                          <a:gd name="connsiteY58" fmla="*/ 1352550 h 1543050"/>
                                          <a:gd name="connsiteX59" fmla="*/ 276836 w 1334111"/>
                                          <a:gd name="connsiteY59" fmla="*/ 1381125 h 1543050"/>
                                          <a:gd name="connsiteX60" fmla="*/ 238736 w 1334111"/>
                                          <a:gd name="connsiteY60" fmla="*/ 1428750 h 1543050"/>
                                          <a:gd name="connsiteX61" fmla="*/ 257786 w 1334111"/>
                                          <a:gd name="connsiteY61" fmla="*/ 1457325 h 1543050"/>
                                          <a:gd name="connsiteX62" fmla="*/ 457811 w 1334111"/>
                                          <a:gd name="connsiteY62" fmla="*/ 1485900 h 1543050"/>
                                          <a:gd name="connsiteX63" fmla="*/ 657836 w 1334111"/>
                                          <a:gd name="connsiteY63" fmla="*/ 1514475 h 1543050"/>
                                          <a:gd name="connsiteX64" fmla="*/ 686411 w 1334111"/>
                                          <a:gd name="connsiteY64" fmla="*/ 1533525 h 1543050"/>
                                          <a:gd name="connsiteX65" fmla="*/ 714986 w 1334111"/>
                                          <a:gd name="connsiteY65" fmla="*/ 1543050 h 1543050"/>
                                          <a:gd name="connsiteX66" fmla="*/ 753086 w 1334111"/>
                                          <a:gd name="connsiteY66" fmla="*/ 1533525 h 1543050"/>
                                          <a:gd name="connsiteX67" fmla="*/ 734036 w 1334111"/>
                                          <a:gd name="connsiteY67" fmla="*/ 1504950 h 1543050"/>
                                          <a:gd name="connsiteX68" fmla="*/ 724511 w 1334111"/>
                                          <a:gd name="connsiteY68" fmla="*/ 1476375 h 1543050"/>
                                          <a:gd name="connsiteX69" fmla="*/ 714986 w 1334111"/>
                                          <a:gd name="connsiteY69" fmla="*/ 1352550 h 1543050"/>
                                          <a:gd name="connsiteX70" fmla="*/ 734036 w 1334111"/>
                                          <a:gd name="connsiteY70" fmla="*/ 1257300 h 1543050"/>
                                          <a:gd name="connsiteX71" fmla="*/ 695936 w 1334111"/>
                                          <a:gd name="connsiteY71" fmla="*/ 1247775 h 1543050"/>
                                          <a:gd name="connsiteX72" fmla="*/ 648311 w 1334111"/>
                                          <a:gd name="connsiteY72" fmla="*/ 1190625 h 1543050"/>
                                          <a:gd name="connsiteX73" fmla="*/ 619736 w 1334111"/>
                                          <a:gd name="connsiteY73" fmla="*/ 1171575 h 1543050"/>
                                          <a:gd name="connsiteX74" fmla="*/ 629261 w 1334111"/>
                                          <a:gd name="connsiteY74" fmla="*/ 1133475 h 1543050"/>
                                          <a:gd name="connsiteX75" fmla="*/ 638786 w 1334111"/>
                                          <a:gd name="connsiteY75" fmla="*/ 1104900 h 1543050"/>
                                          <a:gd name="connsiteX76" fmla="*/ 629261 w 1334111"/>
                                          <a:gd name="connsiteY76" fmla="*/ 962025 h 1543050"/>
                                          <a:gd name="connsiteX77" fmla="*/ 591161 w 1334111"/>
                                          <a:gd name="connsiteY77" fmla="*/ 1000125 h 1543050"/>
                                          <a:gd name="connsiteX78" fmla="*/ 553061 w 1334111"/>
                                          <a:gd name="connsiteY78" fmla="*/ 1019175 h 1543050"/>
                                          <a:gd name="connsiteX79" fmla="*/ 543536 w 1334111"/>
                                          <a:gd name="connsiteY79" fmla="*/ 990600 h 1543050"/>
                                          <a:gd name="connsiteX80" fmla="*/ 600686 w 1334111"/>
                                          <a:gd name="connsiteY80" fmla="*/ 952500 h 1543050"/>
                                          <a:gd name="connsiteX81" fmla="*/ 610211 w 1334111"/>
                                          <a:gd name="connsiteY81" fmla="*/ 828675 h 1543050"/>
                                          <a:gd name="connsiteX82" fmla="*/ 591161 w 1334111"/>
                                          <a:gd name="connsiteY82" fmla="*/ 828675 h 1543050"/>
                                          <a:gd name="connsiteX83" fmla="*/ 619736 w 1334111"/>
                                          <a:gd name="connsiteY83" fmla="*/ 800100 h 1543050"/>
                                          <a:gd name="connsiteX84" fmla="*/ 657836 w 1334111"/>
                                          <a:gd name="connsiteY84" fmla="*/ 742950 h 1543050"/>
                                          <a:gd name="connsiteX85" fmla="*/ 714986 w 1334111"/>
                                          <a:gd name="connsiteY85" fmla="*/ 714375 h 1543050"/>
                                          <a:gd name="connsiteX86" fmla="*/ 810236 w 1334111"/>
                                          <a:gd name="connsiteY86" fmla="*/ 695325 h 1543050"/>
                                          <a:gd name="connsiteX87" fmla="*/ 895961 w 1334111"/>
                                          <a:gd name="connsiteY87" fmla="*/ 647700 h 1543050"/>
                                          <a:gd name="connsiteX88" fmla="*/ 915011 w 1334111"/>
                                          <a:gd name="connsiteY88" fmla="*/ 542925 h 1543050"/>
                                          <a:gd name="connsiteX89" fmla="*/ 953111 w 1334111"/>
                                          <a:gd name="connsiteY89" fmla="*/ 485775 h 1543050"/>
                                          <a:gd name="connsiteX90" fmla="*/ 1000736 w 1334111"/>
                                          <a:gd name="connsiteY90" fmla="*/ 428625 h 1543050"/>
                                          <a:gd name="connsiteX91" fmla="*/ 1029311 w 1334111"/>
                                          <a:gd name="connsiteY91" fmla="*/ 419100 h 1543050"/>
                                          <a:gd name="connsiteX92" fmla="*/ 1095986 w 1334111"/>
                                          <a:gd name="connsiteY92" fmla="*/ 390525 h 1543050"/>
                                          <a:gd name="connsiteX93" fmla="*/ 1153136 w 1334111"/>
                                          <a:gd name="connsiteY93" fmla="*/ 390525 h 15430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Lst>
                                        <a:rect l="l" t="t" r="r" b="b"/>
                                        <a:pathLst>
                                          <a:path w="1334111" h="1543050">
                                            <a:moveTo>
                                              <a:pt x="1048361" y="390525"/>
                                            </a:moveTo>
                                            <a:cubicBezTo>
                                              <a:pt x="1067411" y="377825"/>
                                              <a:pt x="1083202" y="357573"/>
                                              <a:pt x="1105511" y="352425"/>
                                            </a:cubicBezTo>
                                            <a:cubicBezTo>
                                              <a:pt x="1151042" y="341918"/>
                                              <a:pt x="1170066" y="360537"/>
                                              <a:pt x="1200761" y="381000"/>
                                            </a:cubicBezTo>
                                            <a:cubicBezTo>
                                              <a:pt x="1207111" y="390525"/>
                                              <a:pt x="1210103" y="403508"/>
                                              <a:pt x="1219811" y="409575"/>
                                            </a:cubicBezTo>
                                            <a:cubicBezTo>
                                              <a:pt x="1236839" y="420218"/>
                                              <a:pt x="1276961" y="428625"/>
                                              <a:pt x="1276961" y="428625"/>
                                            </a:cubicBezTo>
                                            <a:cubicBezTo>
                                              <a:pt x="1280136" y="419100"/>
                                              <a:pt x="1285241" y="410013"/>
                                              <a:pt x="1286486" y="400050"/>
                                            </a:cubicBezTo>
                                            <a:cubicBezTo>
                                              <a:pt x="1291621" y="358973"/>
                                              <a:pt x="1282920" y="315498"/>
                                              <a:pt x="1296011" y="276225"/>
                                            </a:cubicBezTo>
                                            <a:cubicBezTo>
                                              <a:pt x="1300501" y="262755"/>
                                              <a:pt x="1321411" y="263525"/>
                                              <a:pt x="1334111" y="257175"/>
                                            </a:cubicBezTo>
                                            <a:cubicBezTo>
                                              <a:pt x="1327761" y="247650"/>
                                              <a:pt x="1319570" y="239122"/>
                                              <a:pt x="1315061" y="228600"/>
                                            </a:cubicBezTo>
                                            <a:cubicBezTo>
                                              <a:pt x="1309904" y="216568"/>
                                              <a:pt x="1315593" y="198881"/>
                                              <a:pt x="1305536" y="190500"/>
                                            </a:cubicBezTo>
                                            <a:cubicBezTo>
                                              <a:pt x="1293099" y="180136"/>
                                              <a:pt x="1273617" y="184902"/>
                                              <a:pt x="1257911" y="180975"/>
                                            </a:cubicBezTo>
                                            <a:cubicBezTo>
                                              <a:pt x="1248171" y="178540"/>
                                              <a:pt x="1238316" y="175940"/>
                                              <a:pt x="1229336" y="171450"/>
                                            </a:cubicBezTo>
                                            <a:cubicBezTo>
                                              <a:pt x="1219097" y="166330"/>
                                              <a:pt x="1209555" y="159729"/>
                                              <a:pt x="1200761" y="152400"/>
                                            </a:cubicBezTo>
                                            <a:cubicBezTo>
                                              <a:pt x="1176529" y="132207"/>
                                              <a:pt x="1172824" y="117295"/>
                                              <a:pt x="1143611" y="104775"/>
                                            </a:cubicBezTo>
                                            <a:cubicBezTo>
                                              <a:pt x="1131579" y="99618"/>
                                              <a:pt x="1118098" y="98846"/>
                                              <a:pt x="1105511" y="95250"/>
                                            </a:cubicBezTo>
                                            <a:cubicBezTo>
                                              <a:pt x="1095857" y="92492"/>
                                              <a:pt x="1086814" y="87521"/>
                                              <a:pt x="1076936" y="85725"/>
                                            </a:cubicBezTo>
                                            <a:cubicBezTo>
                                              <a:pt x="913421" y="55995"/>
                                              <a:pt x="1063580" y="91911"/>
                                              <a:pt x="962636" y="66675"/>
                                            </a:cubicBezTo>
                                            <a:cubicBezTo>
                                              <a:pt x="953111" y="57150"/>
                                              <a:pt x="945269" y="45572"/>
                                              <a:pt x="934061" y="38100"/>
                                            </a:cubicBezTo>
                                            <a:cubicBezTo>
                                              <a:pt x="925707" y="32531"/>
                                              <a:pt x="915269" y="30833"/>
                                              <a:pt x="905486" y="28575"/>
                                            </a:cubicBezTo>
                                            <a:cubicBezTo>
                                              <a:pt x="768862" y="-2954"/>
                                              <a:pt x="850730" y="23023"/>
                                              <a:pt x="781661" y="0"/>
                                            </a:cubicBezTo>
                                            <a:cubicBezTo>
                                              <a:pt x="768961" y="3175"/>
                                              <a:pt x="754927" y="3030"/>
                                              <a:pt x="743561" y="9525"/>
                                            </a:cubicBezTo>
                                            <a:cubicBezTo>
                                              <a:pt x="731865" y="16208"/>
                                              <a:pt x="725334" y="29476"/>
                                              <a:pt x="714986" y="38100"/>
                                            </a:cubicBezTo>
                                            <a:cubicBezTo>
                                              <a:pt x="706192" y="45429"/>
                                              <a:pt x="695936" y="50800"/>
                                              <a:pt x="686411" y="57150"/>
                                            </a:cubicBezTo>
                                            <a:cubicBezTo>
                                              <a:pt x="664969" y="121476"/>
                                              <a:pt x="697965" y="53849"/>
                                              <a:pt x="619736" y="76200"/>
                                            </a:cubicBezTo>
                                            <a:cubicBezTo>
                                              <a:pt x="610082" y="78958"/>
                                              <a:pt x="613386" y="95250"/>
                                              <a:pt x="610211" y="104775"/>
                                            </a:cubicBezTo>
                                            <a:cubicBezTo>
                                              <a:pt x="646723" y="159544"/>
                                              <a:pt x="671330" y="155178"/>
                                              <a:pt x="619736" y="180975"/>
                                            </a:cubicBezTo>
                                            <a:cubicBezTo>
                                              <a:pt x="610756" y="185465"/>
                                              <a:pt x="600686" y="187325"/>
                                              <a:pt x="591161" y="190500"/>
                                            </a:cubicBezTo>
                                            <a:cubicBezTo>
                                              <a:pt x="597511" y="200025"/>
                                              <a:pt x="608329" y="207783"/>
                                              <a:pt x="610211" y="219075"/>
                                            </a:cubicBezTo>
                                            <a:cubicBezTo>
                                              <a:pt x="615059" y="248165"/>
                                              <a:pt x="578054" y="264624"/>
                                              <a:pt x="562586" y="276225"/>
                                            </a:cubicBezTo>
                                            <a:cubicBezTo>
                                              <a:pt x="559411" y="304800"/>
                                              <a:pt x="564958" y="335776"/>
                                              <a:pt x="553061" y="361950"/>
                                            </a:cubicBezTo>
                                            <a:cubicBezTo>
                                              <a:pt x="547185" y="374876"/>
                                              <a:pt x="528144" y="375727"/>
                                              <a:pt x="514961" y="381000"/>
                                            </a:cubicBezTo>
                                            <a:cubicBezTo>
                                              <a:pt x="496317" y="388458"/>
                                              <a:pt x="476861" y="393700"/>
                                              <a:pt x="457811" y="400050"/>
                                            </a:cubicBezTo>
                                            <a:cubicBezTo>
                                              <a:pt x="435141" y="468060"/>
                                              <a:pt x="427622" y="440492"/>
                                              <a:pt x="457811" y="485775"/>
                                            </a:cubicBezTo>
                                            <a:cubicBezTo>
                                              <a:pt x="448286" y="488950"/>
                                              <a:pt x="438890" y="492542"/>
                                              <a:pt x="429236" y="495300"/>
                                            </a:cubicBezTo>
                                            <a:cubicBezTo>
                                              <a:pt x="416649" y="498896"/>
                                              <a:pt x="398745" y="494173"/>
                                              <a:pt x="391136" y="504825"/>
                                            </a:cubicBezTo>
                                            <a:cubicBezTo>
                                              <a:pt x="379911" y="520540"/>
                                              <a:pt x="399112" y="553808"/>
                                              <a:pt x="381611" y="561975"/>
                                            </a:cubicBezTo>
                                            <a:cubicBezTo>
                                              <a:pt x="341229" y="580820"/>
                                              <a:pt x="292711" y="568325"/>
                                              <a:pt x="248261" y="571500"/>
                                            </a:cubicBezTo>
                                            <a:cubicBezTo>
                                              <a:pt x="251436" y="584200"/>
                                              <a:pt x="257786" y="596509"/>
                                              <a:pt x="257786" y="609600"/>
                                            </a:cubicBezTo>
                                            <a:cubicBezTo>
                                              <a:pt x="257786" y="622691"/>
                                              <a:pt x="255523" y="636808"/>
                                              <a:pt x="248261" y="647700"/>
                                            </a:cubicBezTo>
                                            <a:cubicBezTo>
                                              <a:pt x="237710" y="663527"/>
                                              <a:pt x="207411" y="670842"/>
                                              <a:pt x="191111" y="676275"/>
                                            </a:cubicBezTo>
                                            <a:cubicBezTo>
                                              <a:pt x="186473" y="699467"/>
                                              <a:pt x="192693" y="740039"/>
                                              <a:pt x="153011" y="733425"/>
                                            </a:cubicBezTo>
                                            <a:cubicBezTo>
                                              <a:pt x="141719" y="731543"/>
                                              <a:pt x="133961" y="720725"/>
                                              <a:pt x="124436" y="714375"/>
                                            </a:cubicBezTo>
                                            <a:cubicBezTo>
                                              <a:pt x="118086" y="704850"/>
                                              <a:pt x="116745" y="687220"/>
                                              <a:pt x="105386" y="685800"/>
                                            </a:cubicBezTo>
                                            <a:cubicBezTo>
                                              <a:pt x="76750" y="682221"/>
                                              <a:pt x="42497" y="708676"/>
                                              <a:pt x="19661" y="723900"/>
                                            </a:cubicBezTo>
                                            <a:cubicBezTo>
                                              <a:pt x="13311" y="733425"/>
                                              <a:pt x="2493" y="741183"/>
                                              <a:pt x="611" y="752475"/>
                                            </a:cubicBezTo>
                                            <a:cubicBezTo>
                                              <a:pt x="-1040" y="762379"/>
                                              <a:pt x="184" y="779723"/>
                                              <a:pt x="10136" y="781050"/>
                                            </a:cubicBezTo>
                                            <a:cubicBezTo>
                                              <a:pt x="54308" y="786940"/>
                                              <a:pt x="99036" y="774700"/>
                                              <a:pt x="143486" y="771525"/>
                                            </a:cubicBezTo>
                                            <a:cubicBezTo>
                                              <a:pt x="153011" y="768350"/>
                                              <a:pt x="162157" y="760349"/>
                                              <a:pt x="172061" y="762000"/>
                                            </a:cubicBezTo>
                                            <a:cubicBezTo>
                                              <a:pt x="183353" y="763882"/>
                                              <a:pt x="190397" y="775930"/>
                                              <a:pt x="200636" y="781050"/>
                                            </a:cubicBezTo>
                                            <a:cubicBezTo>
                                              <a:pt x="215929" y="788696"/>
                                              <a:pt x="232386" y="793750"/>
                                              <a:pt x="248261" y="800100"/>
                                            </a:cubicBezTo>
                                            <a:cubicBezTo>
                                              <a:pt x="251436" y="809625"/>
                                              <a:pt x="255028" y="819021"/>
                                              <a:pt x="257786" y="828675"/>
                                            </a:cubicBezTo>
                                            <a:cubicBezTo>
                                              <a:pt x="261382" y="841262"/>
                                              <a:pt x="262154" y="854743"/>
                                              <a:pt x="267311" y="866775"/>
                                            </a:cubicBezTo>
                                            <a:cubicBezTo>
                                              <a:pt x="271820" y="877297"/>
                                              <a:pt x="280011" y="885825"/>
                                              <a:pt x="286361" y="895350"/>
                                            </a:cubicBezTo>
                                            <a:cubicBezTo>
                                              <a:pt x="289536" y="914400"/>
                                              <a:pt x="286304" y="935732"/>
                                              <a:pt x="295886" y="952500"/>
                                            </a:cubicBezTo>
                                            <a:cubicBezTo>
                                              <a:pt x="300867" y="961217"/>
                                              <a:pt x="314721" y="959590"/>
                                              <a:pt x="324461" y="962025"/>
                                            </a:cubicBezTo>
                                            <a:cubicBezTo>
                                              <a:pt x="340167" y="965952"/>
                                              <a:pt x="356211" y="968375"/>
                                              <a:pt x="372086" y="971550"/>
                                            </a:cubicBezTo>
                                            <a:cubicBezTo>
                                              <a:pt x="403382" y="1065439"/>
                                              <a:pt x="389708" y="998442"/>
                                              <a:pt x="381611" y="1123950"/>
                                            </a:cubicBezTo>
                                            <a:cubicBezTo>
                                              <a:pt x="373299" y="1252786"/>
                                              <a:pt x="427324" y="1301118"/>
                                              <a:pt x="343511" y="1343025"/>
                                            </a:cubicBezTo>
                                            <a:cubicBezTo>
                                              <a:pt x="334531" y="1347515"/>
                                              <a:pt x="324461" y="1349375"/>
                                              <a:pt x="314936" y="1352550"/>
                                            </a:cubicBezTo>
                                            <a:cubicBezTo>
                                              <a:pt x="302236" y="1362075"/>
                                              <a:pt x="286999" y="1368929"/>
                                              <a:pt x="276836" y="1381125"/>
                                            </a:cubicBezTo>
                                            <a:cubicBezTo>
                                              <a:pt x="219326" y="1450137"/>
                                              <a:pt x="326248" y="1370408"/>
                                              <a:pt x="238736" y="1428750"/>
                                            </a:cubicBezTo>
                                            <a:cubicBezTo>
                                              <a:pt x="245086" y="1438275"/>
                                              <a:pt x="249691" y="1449230"/>
                                              <a:pt x="257786" y="1457325"/>
                                            </a:cubicBezTo>
                                            <a:cubicBezTo>
                                              <a:pt x="307092" y="1506631"/>
                                              <a:pt x="409402" y="1483211"/>
                                              <a:pt x="457811" y="1485900"/>
                                            </a:cubicBezTo>
                                            <a:cubicBezTo>
                                              <a:pt x="540107" y="1540764"/>
                                              <a:pt x="444476" y="1483995"/>
                                              <a:pt x="657836" y="1514475"/>
                                            </a:cubicBezTo>
                                            <a:cubicBezTo>
                                              <a:pt x="669169" y="1516094"/>
                                              <a:pt x="676172" y="1528405"/>
                                              <a:pt x="686411" y="1533525"/>
                                            </a:cubicBezTo>
                                            <a:cubicBezTo>
                                              <a:pt x="695391" y="1538015"/>
                                              <a:pt x="705461" y="1539875"/>
                                              <a:pt x="714986" y="1543050"/>
                                            </a:cubicBezTo>
                                            <a:cubicBezTo>
                                              <a:pt x="727686" y="1539875"/>
                                              <a:pt x="747232" y="1545234"/>
                                              <a:pt x="753086" y="1533525"/>
                                            </a:cubicBezTo>
                                            <a:cubicBezTo>
                                              <a:pt x="758206" y="1523286"/>
                                              <a:pt x="739156" y="1515189"/>
                                              <a:pt x="734036" y="1504950"/>
                                            </a:cubicBezTo>
                                            <a:cubicBezTo>
                                              <a:pt x="729546" y="1495970"/>
                                              <a:pt x="727686" y="1485900"/>
                                              <a:pt x="724511" y="1476375"/>
                                            </a:cubicBezTo>
                                            <a:cubicBezTo>
                                              <a:pt x="721336" y="1435100"/>
                                              <a:pt x="714986" y="1393947"/>
                                              <a:pt x="714986" y="1352550"/>
                                            </a:cubicBezTo>
                                            <a:cubicBezTo>
                                              <a:pt x="714986" y="1308770"/>
                                              <a:pt x="722306" y="1292489"/>
                                              <a:pt x="734036" y="1257300"/>
                                            </a:cubicBezTo>
                                            <a:cubicBezTo>
                                              <a:pt x="721336" y="1254125"/>
                                              <a:pt x="707302" y="1254270"/>
                                              <a:pt x="695936" y="1247775"/>
                                            </a:cubicBezTo>
                                            <a:cubicBezTo>
                                              <a:pt x="659526" y="1226969"/>
                                              <a:pt x="674612" y="1216926"/>
                                              <a:pt x="648311" y="1190625"/>
                                            </a:cubicBezTo>
                                            <a:cubicBezTo>
                                              <a:pt x="640216" y="1182530"/>
                                              <a:pt x="629261" y="1177925"/>
                                              <a:pt x="619736" y="1171575"/>
                                            </a:cubicBezTo>
                                            <a:cubicBezTo>
                                              <a:pt x="622911" y="1158875"/>
                                              <a:pt x="625665" y="1146062"/>
                                              <a:pt x="629261" y="1133475"/>
                                            </a:cubicBezTo>
                                            <a:cubicBezTo>
                                              <a:pt x="632019" y="1123821"/>
                                              <a:pt x="638786" y="1114940"/>
                                              <a:pt x="638786" y="1104900"/>
                                            </a:cubicBezTo>
                                            <a:cubicBezTo>
                                              <a:pt x="638786" y="1057169"/>
                                              <a:pt x="632436" y="1009650"/>
                                              <a:pt x="629261" y="962025"/>
                                            </a:cubicBezTo>
                                            <a:cubicBezTo>
                                              <a:pt x="553061" y="987425"/>
                                              <a:pt x="641961" y="949325"/>
                                              <a:pt x="591161" y="1000125"/>
                                            </a:cubicBezTo>
                                            <a:cubicBezTo>
                                              <a:pt x="581121" y="1010165"/>
                                              <a:pt x="565761" y="1012825"/>
                                              <a:pt x="553061" y="1019175"/>
                                            </a:cubicBezTo>
                                            <a:cubicBezTo>
                                              <a:pt x="549886" y="1009650"/>
                                              <a:pt x="540361" y="1000125"/>
                                              <a:pt x="543536" y="990600"/>
                                            </a:cubicBezTo>
                                            <a:cubicBezTo>
                                              <a:pt x="552455" y="963844"/>
                                              <a:pt x="579275" y="959637"/>
                                              <a:pt x="600686" y="952500"/>
                                            </a:cubicBezTo>
                                            <a:cubicBezTo>
                                              <a:pt x="623662" y="918036"/>
                                              <a:pt x="659266" y="877730"/>
                                              <a:pt x="610211" y="828675"/>
                                            </a:cubicBezTo>
                                            <a:cubicBezTo>
                                              <a:pt x="606805" y="825269"/>
                                              <a:pt x="439382" y="853972"/>
                                              <a:pt x="591161" y="828675"/>
                                            </a:cubicBezTo>
                                            <a:cubicBezTo>
                                              <a:pt x="600686" y="819150"/>
                                              <a:pt x="611466" y="810733"/>
                                              <a:pt x="619736" y="800100"/>
                                            </a:cubicBezTo>
                                            <a:cubicBezTo>
                                              <a:pt x="633792" y="782028"/>
                                              <a:pt x="636116" y="750190"/>
                                              <a:pt x="657836" y="742950"/>
                                            </a:cubicBezTo>
                                            <a:cubicBezTo>
                                              <a:pt x="729660" y="719009"/>
                                              <a:pt x="641128" y="751304"/>
                                              <a:pt x="714986" y="714375"/>
                                            </a:cubicBezTo>
                                            <a:cubicBezTo>
                                              <a:pt x="741585" y="701075"/>
                                              <a:pt x="785665" y="698835"/>
                                              <a:pt x="810236" y="695325"/>
                                            </a:cubicBezTo>
                                            <a:cubicBezTo>
                                              <a:pt x="880165" y="672015"/>
                                              <a:pt x="853187" y="690474"/>
                                              <a:pt x="895961" y="647700"/>
                                            </a:cubicBezTo>
                                            <a:cubicBezTo>
                                              <a:pt x="898037" y="631093"/>
                                              <a:pt x="900802" y="568502"/>
                                              <a:pt x="915011" y="542925"/>
                                            </a:cubicBezTo>
                                            <a:cubicBezTo>
                                              <a:pt x="926130" y="522911"/>
                                              <a:pt x="940411" y="504825"/>
                                              <a:pt x="953111" y="485775"/>
                                            </a:cubicBezTo>
                                            <a:cubicBezTo>
                                              <a:pt x="967168" y="464690"/>
                                              <a:pt x="978734" y="443293"/>
                                              <a:pt x="1000736" y="428625"/>
                                            </a:cubicBezTo>
                                            <a:cubicBezTo>
                                              <a:pt x="1009090" y="423056"/>
                                              <a:pt x="1020331" y="423590"/>
                                              <a:pt x="1029311" y="419100"/>
                                            </a:cubicBezTo>
                                            <a:cubicBezTo>
                                              <a:pt x="1069087" y="399212"/>
                                              <a:pt x="1046427" y="395481"/>
                                              <a:pt x="1095986" y="390525"/>
                                            </a:cubicBezTo>
                                            <a:cubicBezTo>
                                              <a:pt x="1114941" y="388629"/>
                                              <a:pt x="1134086" y="390525"/>
                                              <a:pt x="1153136" y="390525"/>
                                            </a:cubicBezTo>
                                          </a:path>
                                        </a:pathLst>
                                      </a:custGeom>
                                      <a:solidFill>
                                        <a:schemeClr val="accent3">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endParaRPr lang="es-ES" sz="1100" b="1">
                                          <a:solidFill>
                                            <a:sysClr val="windowText" lastClr="000000"/>
                                          </a:solidFill>
                                        </a:endParaRPr>
                                      </a:p>
                                      <a:p>
                                        <a:pPr algn="ctr"/>
                                        <a:endParaRPr lang="es-ES" sz="1100" b="1">
                                          <a:solidFill>
                                            <a:sysClr val="windowText" lastClr="000000"/>
                                          </a:solidFill>
                                        </a:endParaRPr>
                                      </a:p>
                                      <a:p>
                                        <a:pPr algn="ctr"/>
                                        <a:r>
                                          <a:rPr lang="es-ES" sz="1100" b="1">
                                            <a:solidFill>
                                              <a:sysClr val="windowText" lastClr="000000"/>
                                            </a:solidFill>
                                          </a:rPr>
                                          <a:t>Elias Piña</a:t>
                                        </a:r>
                                      </a:p>
                                      <a:p>
                                        <a:pPr algn="ctr"/>
                                        <a:r>
                                          <a:rPr lang="es-ES" sz="1100" b="1">
                                            <a:solidFill>
                                              <a:sysClr val="windowText" lastClr="000000"/>
                                            </a:solidFill>
                                          </a:rPr>
                                          <a:t>3,862</a:t>
                                        </a:r>
                                      </a:p>
                                      <a:p>
                                        <a:pPr algn="ctr"/>
                                        <a:r>
                                          <a:rPr lang="es-ES" sz="1100" b="1">
                                            <a:solidFill>
                                              <a:sysClr val="windowText" lastClr="000000"/>
                                            </a:solidFill>
                                          </a:rPr>
                                          <a:t>0.1%</a:t>
                                        </a:r>
                                      </a:p>
                                    </xdr:txBody>
                                  </xdr:sp>
                                  <xdr:sp macro="" textlink="">
                                    <xdr:nvSpPr>
                                      <xdr:cNvPr id="52" name="Forma libre 51"/>
                                      <xdr:cNvSpPr/>
                                    </xdr:nvSpPr>
                                    <xdr:spPr>
                                      <a:xfrm>
                                        <a:off x="47625" y="3019426"/>
                                        <a:ext cx="1821483" cy="1428750"/>
                                      </a:xfrm>
                                      <a:custGeom>
                                        <a:avLst/>
                                        <a:gdLst>
                                          <a:gd name="connsiteX0" fmla="*/ 992808 w 1840533"/>
                                          <a:gd name="connsiteY0" fmla="*/ 161925 h 1371600"/>
                                          <a:gd name="connsiteX1" fmla="*/ 945183 w 1840533"/>
                                          <a:gd name="connsiteY1" fmla="*/ 133350 h 1371600"/>
                                          <a:gd name="connsiteX2" fmla="*/ 640383 w 1840533"/>
                                          <a:gd name="connsiteY2" fmla="*/ 85725 h 1371600"/>
                                          <a:gd name="connsiteX3" fmla="*/ 583233 w 1840533"/>
                                          <a:gd name="connsiteY3" fmla="*/ 76200 h 1371600"/>
                                          <a:gd name="connsiteX4" fmla="*/ 554658 w 1840533"/>
                                          <a:gd name="connsiteY4" fmla="*/ 57150 h 1371600"/>
                                          <a:gd name="connsiteX5" fmla="*/ 507033 w 1840533"/>
                                          <a:gd name="connsiteY5" fmla="*/ 0 h 1371600"/>
                                          <a:gd name="connsiteX6" fmla="*/ 497508 w 1840533"/>
                                          <a:gd name="connsiteY6" fmla="*/ 28575 h 1371600"/>
                                          <a:gd name="connsiteX7" fmla="*/ 487983 w 1840533"/>
                                          <a:gd name="connsiteY7" fmla="*/ 95250 h 1371600"/>
                                          <a:gd name="connsiteX8" fmla="*/ 449883 w 1840533"/>
                                          <a:gd name="connsiteY8" fmla="*/ 152400 h 1371600"/>
                                          <a:gd name="connsiteX9" fmla="*/ 316533 w 1840533"/>
                                          <a:gd name="connsiteY9" fmla="*/ 133350 h 1371600"/>
                                          <a:gd name="connsiteX10" fmla="*/ 259383 w 1840533"/>
                                          <a:gd name="connsiteY10" fmla="*/ 95250 h 1371600"/>
                                          <a:gd name="connsiteX11" fmla="*/ 230808 w 1840533"/>
                                          <a:gd name="connsiteY11" fmla="*/ 104775 h 1371600"/>
                                          <a:gd name="connsiteX12" fmla="*/ 202233 w 1840533"/>
                                          <a:gd name="connsiteY12" fmla="*/ 123825 h 1371600"/>
                                          <a:gd name="connsiteX13" fmla="*/ 154608 w 1840533"/>
                                          <a:gd name="connsiteY13" fmla="*/ 114300 h 1371600"/>
                                          <a:gd name="connsiteX14" fmla="*/ 97458 w 1840533"/>
                                          <a:gd name="connsiteY14" fmla="*/ 95250 h 1371600"/>
                                          <a:gd name="connsiteX15" fmla="*/ 59358 w 1840533"/>
                                          <a:gd name="connsiteY15" fmla="*/ 85725 h 1371600"/>
                                          <a:gd name="connsiteX16" fmla="*/ 2208 w 1840533"/>
                                          <a:gd name="connsiteY16" fmla="*/ 95250 h 1371600"/>
                                          <a:gd name="connsiteX17" fmla="*/ 11733 w 1840533"/>
                                          <a:gd name="connsiteY17" fmla="*/ 123825 h 1371600"/>
                                          <a:gd name="connsiteX18" fmla="*/ 21258 w 1840533"/>
                                          <a:gd name="connsiteY18" fmla="*/ 190500 h 1371600"/>
                                          <a:gd name="connsiteX19" fmla="*/ 49833 w 1840533"/>
                                          <a:gd name="connsiteY19" fmla="*/ 200025 h 1371600"/>
                                          <a:gd name="connsiteX20" fmla="*/ 106983 w 1840533"/>
                                          <a:gd name="connsiteY20" fmla="*/ 209550 h 1371600"/>
                                          <a:gd name="connsiteX21" fmla="*/ 135558 w 1840533"/>
                                          <a:gd name="connsiteY21" fmla="*/ 228600 h 1371600"/>
                                          <a:gd name="connsiteX22" fmla="*/ 145083 w 1840533"/>
                                          <a:gd name="connsiteY22" fmla="*/ 257175 h 1371600"/>
                                          <a:gd name="connsiteX23" fmla="*/ 154608 w 1840533"/>
                                          <a:gd name="connsiteY23" fmla="*/ 342900 h 1371600"/>
                                          <a:gd name="connsiteX24" fmla="*/ 183183 w 1840533"/>
                                          <a:gd name="connsiteY24" fmla="*/ 352425 h 1371600"/>
                                          <a:gd name="connsiteX25" fmla="*/ 211758 w 1840533"/>
                                          <a:gd name="connsiteY25" fmla="*/ 381000 h 1371600"/>
                                          <a:gd name="connsiteX26" fmla="*/ 221283 w 1840533"/>
                                          <a:gd name="connsiteY26" fmla="*/ 428625 h 1371600"/>
                                          <a:gd name="connsiteX27" fmla="*/ 287958 w 1840533"/>
                                          <a:gd name="connsiteY27" fmla="*/ 438150 h 1371600"/>
                                          <a:gd name="connsiteX28" fmla="*/ 287958 w 1840533"/>
                                          <a:gd name="connsiteY28" fmla="*/ 504825 h 1371600"/>
                                          <a:gd name="connsiteX29" fmla="*/ 240333 w 1840533"/>
                                          <a:gd name="connsiteY29" fmla="*/ 514350 h 1371600"/>
                                          <a:gd name="connsiteX30" fmla="*/ 230808 w 1840533"/>
                                          <a:gd name="connsiteY30" fmla="*/ 542925 h 1371600"/>
                                          <a:gd name="connsiteX31" fmla="*/ 249858 w 1840533"/>
                                          <a:gd name="connsiteY31" fmla="*/ 571500 h 1371600"/>
                                          <a:gd name="connsiteX32" fmla="*/ 278433 w 1840533"/>
                                          <a:gd name="connsiteY32" fmla="*/ 590550 h 1371600"/>
                                          <a:gd name="connsiteX33" fmla="*/ 316533 w 1840533"/>
                                          <a:gd name="connsiteY33" fmla="*/ 619125 h 1371600"/>
                                          <a:gd name="connsiteX34" fmla="*/ 335583 w 1840533"/>
                                          <a:gd name="connsiteY34" fmla="*/ 647700 h 1371600"/>
                                          <a:gd name="connsiteX35" fmla="*/ 364158 w 1840533"/>
                                          <a:gd name="connsiteY35" fmla="*/ 657225 h 1371600"/>
                                          <a:gd name="connsiteX36" fmla="*/ 392733 w 1840533"/>
                                          <a:gd name="connsiteY36" fmla="*/ 676275 h 1371600"/>
                                          <a:gd name="connsiteX37" fmla="*/ 421308 w 1840533"/>
                                          <a:gd name="connsiteY37" fmla="*/ 704850 h 1371600"/>
                                          <a:gd name="connsiteX38" fmla="*/ 459408 w 1840533"/>
                                          <a:gd name="connsiteY38" fmla="*/ 714375 h 1371600"/>
                                          <a:gd name="connsiteX39" fmla="*/ 478458 w 1840533"/>
                                          <a:gd name="connsiteY39" fmla="*/ 742950 h 1371600"/>
                                          <a:gd name="connsiteX40" fmla="*/ 535608 w 1840533"/>
                                          <a:gd name="connsiteY40" fmla="*/ 771525 h 1371600"/>
                                          <a:gd name="connsiteX41" fmla="*/ 564183 w 1840533"/>
                                          <a:gd name="connsiteY41" fmla="*/ 790575 h 1371600"/>
                                          <a:gd name="connsiteX42" fmla="*/ 583233 w 1840533"/>
                                          <a:gd name="connsiteY42" fmla="*/ 819150 h 1371600"/>
                                          <a:gd name="connsiteX43" fmla="*/ 649908 w 1840533"/>
                                          <a:gd name="connsiteY43" fmla="*/ 838200 h 1371600"/>
                                          <a:gd name="connsiteX44" fmla="*/ 678483 w 1840533"/>
                                          <a:gd name="connsiteY44" fmla="*/ 857250 h 1371600"/>
                                          <a:gd name="connsiteX45" fmla="*/ 707058 w 1840533"/>
                                          <a:gd name="connsiteY45" fmla="*/ 866775 h 1371600"/>
                                          <a:gd name="connsiteX46" fmla="*/ 716583 w 1840533"/>
                                          <a:gd name="connsiteY46" fmla="*/ 895350 h 1371600"/>
                                          <a:gd name="connsiteX47" fmla="*/ 697533 w 1840533"/>
                                          <a:gd name="connsiteY47" fmla="*/ 952500 h 1371600"/>
                                          <a:gd name="connsiteX48" fmla="*/ 688008 w 1840533"/>
                                          <a:gd name="connsiteY48" fmla="*/ 981075 h 1371600"/>
                                          <a:gd name="connsiteX49" fmla="*/ 697533 w 1840533"/>
                                          <a:gd name="connsiteY49" fmla="*/ 1009650 h 1371600"/>
                                          <a:gd name="connsiteX50" fmla="*/ 792783 w 1840533"/>
                                          <a:gd name="connsiteY50" fmla="*/ 1038225 h 1371600"/>
                                          <a:gd name="connsiteX51" fmla="*/ 802308 w 1840533"/>
                                          <a:gd name="connsiteY51" fmla="*/ 1066800 h 1371600"/>
                                          <a:gd name="connsiteX52" fmla="*/ 868983 w 1840533"/>
                                          <a:gd name="connsiteY52" fmla="*/ 1143000 h 1371600"/>
                                          <a:gd name="connsiteX53" fmla="*/ 897558 w 1840533"/>
                                          <a:gd name="connsiteY53" fmla="*/ 1152525 h 1371600"/>
                                          <a:gd name="connsiteX54" fmla="*/ 983283 w 1840533"/>
                                          <a:gd name="connsiteY54" fmla="*/ 1162050 h 1371600"/>
                                          <a:gd name="connsiteX55" fmla="*/ 1011858 w 1840533"/>
                                          <a:gd name="connsiteY55" fmla="*/ 1181100 h 1371600"/>
                                          <a:gd name="connsiteX56" fmla="*/ 1030908 w 1840533"/>
                                          <a:gd name="connsiteY56" fmla="*/ 1209675 h 1371600"/>
                                          <a:gd name="connsiteX57" fmla="*/ 1069008 w 1840533"/>
                                          <a:gd name="connsiteY57" fmla="*/ 1219200 h 1371600"/>
                                          <a:gd name="connsiteX58" fmla="*/ 1211883 w 1840533"/>
                                          <a:gd name="connsiteY58" fmla="*/ 1228725 h 1371600"/>
                                          <a:gd name="connsiteX59" fmla="*/ 1230933 w 1840533"/>
                                          <a:gd name="connsiteY59" fmla="*/ 1285875 h 1371600"/>
                                          <a:gd name="connsiteX60" fmla="*/ 1297608 w 1840533"/>
                                          <a:gd name="connsiteY60" fmla="*/ 1323975 h 1371600"/>
                                          <a:gd name="connsiteX61" fmla="*/ 1354758 w 1840533"/>
                                          <a:gd name="connsiteY61" fmla="*/ 1371600 h 1371600"/>
                                          <a:gd name="connsiteX62" fmla="*/ 1373808 w 1840533"/>
                                          <a:gd name="connsiteY62" fmla="*/ 1314450 h 1371600"/>
                                          <a:gd name="connsiteX63" fmla="*/ 1383333 w 1840533"/>
                                          <a:gd name="connsiteY63" fmla="*/ 1257300 h 1371600"/>
                                          <a:gd name="connsiteX64" fmla="*/ 1411908 w 1840533"/>
                                          <a:gd name="connsiteY64" fmla="*/ 1219200 h 1371600"/>
                                          <a:gd name="connsiteX65" fmla="*/ 1469058 w 1840533"/>
                                          <a:gd name="connsiteY65" fmla="*/ 1209675 h 1371600"/>
                                          <a:gd name="connsiteX66" fmla="*/ 1488108 w 1840533"/>
                                          <a:gd name="connsiteY66" fmla="*/ 1047750 h 1371600"/>
                                          <a:gd name="connsiteX67" fmla="*/ 1469058 w 1840533"/>
                                          <a:gd name="connsiteY67" fmla="*/ 1019175 h 1371600"/>
                                          <a:gd name="connsiteX68" fmla="*/ 1526208 w 1840533"/>
                                          <a:gd name="connsiteY68" fmla="*/ 1009650 h 1371600"/>
                                          <a:gd name="connsiteX69" fmla="*/ 1535733 w 1840533"/>
                                          <a:gd name="connsiteY69" fmla="*/ 962025 h 1371600"/>
                                          <a:gd name="connsiteX70" fmla="*/ 1611933 w 1840533"/>
                                          <a:gd name="connsiteY70" fmla="*/ 981075 h 1371600"/>
                                          <a:gd name="connsiteX71" fmla="*/ 1669083 w 1840533"/>
                                          <a:gd name="connsiteY71" fmla="*/ 1019175 h 1371600"/>
                                          <a:gd name="connsiteX72" fmla="*/ 1726233 w 1840533"/>
                                          <a:gd name="connsiteY72" fmla="*/ 1066800 h 1371600"/>
                                          <a:gd name="connsiteX73" fmla="*/ 1754808 w 1840533"/>
                                          <a:gd name="connsiteY73" fmla="*/ 1076325 h 1371600"/>
                                          <a:gd name="connsiteX74" fmla="*/ 1783383 w 1840533"/>
                                          <a:gd name="connsiteY74" fmla="*/ 1066800 h 1371600"/>
                                          <a:gd name="connsiteX75" fmla="*/ 1811958 w 1840533"/>
                                          <a:gd name="connsiteY75" fmla="*/ 1038225 h 1371600"/>
                                          <a:gd name="connsiteX76" fmla="*/ 1831008 w 1840533"/>
                                          <a:gd name="connsiteY76" fmla="*/ 952500 h 1371600"/>
                                          <a:gd name="connsiteX77" fmla="*/ 1840533 w 1840533"/>
                                          <a:gd name="connsiteY77" fmla="*/ 923925 h 1371600"/>
                                          <a:gd name="connsiteX78" fmla="*/ 1821483 w 1840533"/>
                                          <a:gd name="connsiteY78" fmla="*/ 885825 h 1371600"/>
                                          <a:gd name="connsiteX79" fmla="*/ 1764333 w 1840533"/>
                                          <a:gd name="connsiteY79" fmla="*/ 838200 h 1371600"/>
                                          <a:gd name="connsiteX80" fmla="*/ 1735758 w 1840533"/>
                                          <a:gd name="connsiteY80" fmla="*/ 781050 h 1371600"/>
                                          <a:gd name="connsiteX81" fmla="*/ 1697658 w 1840533"/>
                                          <a:gd name="connsiteY81" fmla="*/ 723900 h 1371600"/>
                                          <a:gd name="connsiteX82" fmla="*/ 1640508 w 1840533"/>
                                          <a:gd name="connsiteY82" fmla="*/ 685800 h 1371600"/>
                                          <a:gd name="connsiteX83" fmla="*/ 1583358 w 1840533"/>
                                          <a:gd name="connsiteY83" fmla="*/ 695325 h 1371600"/>
                                          <a:gd name="connsiteX84" fmla="*/ 1535733 w 1840533"/>
                                          <a:gd name="connsiteY84" fmla="*/ 742950 h 1371600"/>
                                          <a:gd name="connsiteX85" fmla="*/ 1507158 w 1840533"/>
                                          <a:gd name="connsiteY85" fmla="*/ 762000 h 1371600"/>
                                          <a:gd name="connsiteX86" fmla="*/ 1411908 w 1840533"/>
                                          <a:gd name="connsiteY86" fmla="*/ 752475 h 1371600"/>
                                          <a:gd name="connsiteX87" fmla="*/ 1354758 w 1840533"/>
                                          <a:gd name="connsiteY87" fmla="*/ 704850 h 1371600"/>
                                          <a:gd name="connsiteX88" fmla="*/ 1335708 w 1840533"/>
                                          <a:gd name="connsiteY88" fmla="*/ 676275 h 1371600"/>
                                          <a:gd name="connsiteX89" fmla="*/ 1316658 w 1840533"/>
                                          <a:gd name="connsiteY89" fmla="*/ 638175 h 1371600"/>
                                          <a:gd name="connsiteX90" fmla="*/ 1183308 w 1840533"/>
                                          <a:gd name="connsiteY90" fmla="*/ 628650 h 1371600"/>
                                          <a:gd name="connsiteX91" fmla="*/ 1126158 w 1840533"/>
                                          <a:gd name="connsiteY91" fmla="*/ 590550 h 1371600"/>
                                          <a:gd name="connsiteX92" fmla="*/ 1097583 w 1840533"/>
                                          <a:gd name="connsiteY92" fmla="*/ 581025 h 1371600"/>
                                          <a:gd name="connsiteX93" fmla="*/ 1030908 w 1840533"/>
                                          <a:gd name="connsiteY93" fmla="*/ 561975 h 1371600"/>
                                          <a:gd name="connsiteX94" fmla="*/ 964233 w 1840533"/>
                                          <a:gd name="connsiteY94" fmla="*/ 523875 h 1371600"/>
                                          <a:gd name="connsiteX95" fmla="*/ 897558 w 1840533"/>
                                          <a:gd name="connsiteY95" fmla="*/ 504825 h 1371600"/>
                                          <a:gd name="connsiteX96" fmla="*/ 868983 w 1840533"/>
                                          <a:gd name="connsiteY96" fmla="*/ 476250 h 1371600"/>
                                          <a:gd name="connsiteX97" fmla="*/ 840408 w 1840533"/>
                                          <a:gd name="connsiteY97" fmla="*/ 466725 h 1371600"/>
                                          <a:gd name="connsiteX98" fmla="*/ 888033 w 1840533"/>
                                          <a:gd name="connsiteY98" fmla="*/ 400050 h 1371600"/>
                                          <a:gd name="connsiteX99" fmla="*/ 897558 w 1840533"/>
                                          <a:gd name="connsiteY99" fmla="*/ 371475 h 1371600"/>
                                          <a:gd name="connsiteX100" fmla="*/ 907083 w 1840533"/>
                                          <a:gd name="connsiteY100" fmla="*/ 314325 h 1371600"/>
                                          <a:gd name="connsiteX101" fmla="*/ 945183 w 1840533"/>
                                          <a:gd name="connsiteY101" fmla="*/ 285750 h 1371600"/>
                                          <a:gd name="connsiteX102" fmla="*/ 992808 w 1840533"/>
                                          <a:gd name="connsiteY102" fmla="*/ 200025 h 1371600"/>
                                          <a:gd name="connsiteX103" fmla="*/ 1002333 w 1840533"/>
                                          <a:gd name="connsiteY103" fmla="*/ 152400 h 1371600"/>
                                          <a:gd name="connsiteX104" fmla="*/ 973758 w 1840533"/>
                                          <a:gd name="connsiteY104" fmla="*/ 114300 h 137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Lst>
                                        <a:rect l="l" t="t" r="r" b="b"/>
                                        <a:pathLst>
                                          <a:path w="1840533" h="1371600">
                                            <a:moveTo>
                                              <a:pt x="992808" y="161925"/>
                                            </a:moveTo>
                                            <a:cubicBezTo>
                                              <a:pt x="976933" y="152400"/>
                                              <a:pt x="960802" y="143289"/>
                                              <a:pt x="945183" y="133350"/>
                                            </a:cubicBezTo>
                                            <a:cubicBezTo>
                                              <a:pt x="812916" y="49180"/>
                                              <a:pt x="933933" y="97015"/>
                                              <a:pt x="640383" y="85725"/>
                                            </a:cubicBezTo>
                                            <a:cubicBezTo>
                                              <a:pt x="621333" y="82550"/>
                                              <a:pt x="601555" y="82307"/>
                                              <a:pt x="583233" y="76200"/>
                                            </a:cubicBezTo>
                                            <a:cubicBezTo>
                                              <a:pt x="572373" y="72580"/>
                                              <a:pt x="563452" y="64479"/>
                                              <a:pt x="554658" y="57150"/>
                                            </a:cubicBezTo>
                                            <a:cubicBezTo>
                                              <a:pt x="527156" y="34231"/>
                                              <a:pt x="525764" y="28097"/>
                                              <a:pt x="507033" y="0"/>
                                            </a:cubicBezTo>
                                            <a:cubicBezTo>
                                              <a:pt x="503858" y="9525"/>
                                              <a:pt x="499477" y="18730"/>
                                              <a:pt x="497508" y="28575"/>
                                            </a:cubicBezTo>
                                            <a:cubicBezTo>
                                              <a:pt x="493105" y="50590"/>
                                              <a:pt x="496042" y="74296"/>
                                              <a:pt x="487983" y="95250"/>
                                            </a:cubicBezTo>
                                            <a:cubicBezTo>
                                              <a:pt x="479764" y="116619"/>
                                              <a:pt x="449883" y="152400"/>
                                              <a:pt x="449883" y="152400"/>
                                            </a:cubicBezTo>
                                            <a:cubicBezTo>
                                              <a:pt x="402568" y="81428"/>
                                              <a:pt x="465811" y="158230"/>
                                              <a:pt x="316533" y="133350"/>
                                            </a:cubicBezTo>
                                            <a:cubicBezTo>
                                              <a:pt x="293949" y="129586"/>
                                              <a:pt x="259383" y="95250"/>
                                              <a:pt x="259383" y="95250"/>
                                            </a:cubicBezTo>
                                            <a:cubicBezTo>
                                              <a:pt x="249858" y="98425"/>
                                              <a:pt x="239788" y="100285"/>
                                              <a:pt x="230808" y="104775"/>
                                            </a:cubicBezTo>
                                            <a:cubicBezTo>
                                              <a:pt x="220569" y="109895"/>
                                              <a:pt x="213592" y="122405"/>
                                              <a:pt x="202233" y="123825"/>
                                            </a:cubicBezTo>
                                            <a:cubicBezTo>
                                              <a:pt x="186169" y="125833"/>
                                              <a:pt x="170227" y="118560"/>
                                              <a:pt x="154608" y="114300"/>
                                            </a:cubicBezTo>
                                            <a:cubicBezTo>
                                              <a:pt x="135235" y="109016"/>
                                              <a:pt x="116939" y="100120"/>
                                              <a:pt x="97458" y="95250"/>
                                            </a:cubicBezTo>
                                            <a:lnTo>
                                              <a:pt x="59358" y="85725"/>
                                            </a:lnTo>
                                            <a:cubicBezTo>
                                              <a:pt x="40308" y="88900"/>
                                              <a:pt x="17289" y="83185"/>
                                              <a:pt x="2208" y="95250"/>
                                            </a:cubicBezTo>
                                            <a:cubicBezTo>
                                              <a:pt x="-5632" y="101522"/>
                                              <a:pt x="9764" y="113980"/>
                                              <a:pt x="11733" y="123825"/>
                                            </a:cubicBezTo>
                                            <a:cubicBezTo>
                                              <a:pt x="16136" y="145840"/>
                                              <a:pt x="11218" y="170420"/>
                                              <a:pt x="21258" y="190500"/>
                                            </a:cubicBezTo>
                                            <a:cubicBezTo>
                                              <a:pt x="25748" y="199480"/>
                                              <a:pt x="40032" y="197847"/>
                                              <a:pt x="49833" y="200025"/>
                                            </a:cubicBezTo>
                                            <a:cubicBezTo>
                                              <a:pt x="68686" y="204215"/>
                                              <a:pt x="87933" y="206375"/>
                                              <a:pt x="106983" y="209550"/>
                                            </a:cubicBezTo>
                                            <a:cubicBezTo>
                                              <a:pt x="116508" y="215900"/>
                                              <a:pt x="128407" y="219661"/>
                                              <a:pt x="135558" y="228600"/>
                                            </a:cubicBezTo>
                                            <a:cubicBezTo>
                                              <a:pt x="141830" y="236440"/>
                                              <a:pt x="143432" y="247271"/>
                                              <a:pt x="145083" y="257175"/>
                                            </a:cubicBezTo>
                                            <a:cubicBezTo>
                                              <a:pt x="149810" y="285535"/>
                                              <a:pt x="143930" y="316206"/>
                                              <a:pt x="154608" y="342900"/>
                                            </a:cubicBezTo>
                                            <a:cubicBezTo>
                                              <a:pt x="158337" y="352222"/>
                                              <a:pt x="173658" y="349250"/>
                                              <a:pt x="183183" y="352425"/>
                                            </a:cubicBezTo>
                                            <a:cubicBezTo>
                                              <a:pt x="192708" y="361950"/>
                                              <a:pt x="205734" y="368952"/>
                                              <a:pt x="211758" y="381000"/>
                                            </a:cubicBezTo>
                                            <a:cubicBezTo>
                                              <a:pt x="218998" y="395480"/>
                                              <a:pt x="208331" y="418911"/>
                                              <a:pt x="221283" y="428625"/>
                                            </a:cubicBezTo>
                                            <a:cubicBezTo>
                                              <a:pt x="239244" y="442095"/>
                                              <a:pt x="265733" y="434975"/>
                                              <a:pt x="287958" y="438150"/>
                                            </a:cubicBezTo>
                                            <a:cubicBezTo>
                                              <a:pt x="294045" y="456411"/>
                                              <a:pt x="309798" y="486625"/>
                                              <a:pt x="287958" y="504825"/>
                                            </a:cubicBezTo>
                                            <a:cubicBezTo>
                                              <a:pt x="275521" y="515189"/>
                                              <a:pt x="256208" y="511175"/>
                                              <a:pt x="240333" y="514350"/>
                                            </a:cubicBezTo>
                                            <a:cubicBezTo>
                                              <a:pt x="237158" y="523875"/>
                                              <a:pt x="229157" y="533021"/>
                                              <a:pt x="230808" y="542925"/>
                                            </a:cubicBezTo>
                                            <a:cubicBezTo>
                                              <a:pt x="232690" y="554217"/>
                                              <a:pt x="241763" y="563405"/>
                                              <a:pt x="249858" y="571500"/>
                                            </a:cubicBezTo>
                                            <a:cubicBezTo>
                                              <a:pt x="257953" y="579595"/>
                                              <a:pt x="269118" y="583896"/>
                                              <a:pt x="278433" y="590550"/>
                                            </a:cubicBezTo>
                                            <a:cubicBezTo>
                                              <a:pt x="291351" y="599777"/>
                                              <a:pt x="305308" y="607900"/>
                                              <a:pt x="316533" y="619125"/>
                                            </a:cubicBezTo>
                                            <a:cubicBezTo>
                                              <a:pt x="324628" y="627220"/>
                                              <a:pt x="326644" y="640549"/>
                                              <a:pt x="335583" y="647700"/>
                                            </a:cubicBezTo>
                                            <a:cubicBezTo>
                                              <a:pt x="343423" y="653972"/>
                                              <a:pt x="355178" y="652735"/>
                                              <a:pt x="364158" y="657225"/>
                                            </a:cubicBezTo>
                                            <a:cubicBezTo>
                                              <a:pt x="374397" y="662345"/>
                                              <a:pt x="383939" y="668946"/>
                                              <a:pt x="392733" y="676275"/>
                                            </a:cubicBezTo>
                                            <a:cubicBezTo>
                                              <a:pt x="403081" y="684899"/>
                                              <a:pt x="409612" y="698167"/>
                                              <a:pt x="421308" y="704850"/>
                                            </a:cubicBezTo>
                                            <a:cubicBezTo>
                                              <a:pt x="432674" y="711345"/>
                                              <a:pt x="446708" y="711200"/>
                                              <a:pt x="459408" y="714375"/>
                                            </a:cubicBezTo>
                                            <a:cubicBezTo>
                                              <a:pt x="465758" y="723900"/>
                                              <a:pt x="470363" y="734855"/>
                                              <a:pt x="478458" y="742950"/>
                                            </a:cubicBezTo>
                                            <a:cubicBezTo>
                                              <a:pt x="505755" y="770247"/>
                                              <a:pt x="504620" y="756031"/>
                                              <a:pt x="535608" y="771525"/>
                                            </a:cubicBezTo>
                                            <a:cubicBezTo>
                                              <a:pt x="545847" y="776645"/>
                                              <a:pt x="554658" y="784225"/>
                                              <a:pt x="564183" y="790575"/>
                                            </a:cubicBezTo>
                                            <a:cubicBezTo>
                                              <a:pt x="570533" y="800100"/>
                                              <a:pt x="574294" y="811999"/>
                                              <a:pt x="583233" y="819150"/>
                                            </a:cubicBezTo>
                                            <a:cubicBezTo>
                                              <a:pt x="589444" y="824119"/>
                                              <a:pt x="647419" y="837578"/>
                                              <a:pt x="649908" y="838200"/>
                                            </a:cubicBezTo>
                                            <a:cubicBezTo>
                                              <a:pt x="659433" y="844550"/>
                                              <a:pt x="668244" y="852130"/>
                                              <a:pt x="678483" y="857250"/>
                                            </a:cubicBezTo>
                                            <a:cubicBezTo>
                                              <a:pt x="687463" y="861740"/>
                                              <a:pt x="699958" y="859675"/>
                                              <a:pt x="707058" y="866775"/>
                                            </a:cubicBezTo>
                                            <a:cubicBezTo>
                                              <a:pt x="714158" y="873875"/>
                                              <a:pt x="713408" y="885825"/>
                                              <a:pt x="716583" y="895350"/>
                                            </a:cubicBezTo>
                                            <a:lnTo>
                                              <a:pt x="697533" y="952500"/>
                                            </a:lnTo>
                                            <a:lnTo>
                                              <a:pt x="688008" y="981075"/>
                                            </a:lnTo>
                                            <a:cubicBezTo>
                                              <a:pt x="691183" y="990600"/>
                                              <a:pt x="689363" y="1003814"/>
                                              <a:pt x="697533" y="1009650"/>
                                            </a:cubicBezTo>
                                            <a:cubicBezTo>
                                              <a:pt x="710020" y="1018569"/>
                                              <a:pt x="772415" y="1033133"/>
                                              <a:pt x="792783" y="1038225"/>
                                            </a:cubicBezTo>
                                            <a:cubicBezTo>
                                              <a:pt x="795958" y="1047750"/>
                                              <a:pt x="797432" y="1058023"/>
                                              <a:pt x="802308" y="1066800"/>
                                            </a:cubicBezTo>
                                            <a:cubicBezTo>
                                              <a:pt x="824289" y="1106365"/>
                                              <a:pt x="832593" y="1124805"/>
                                              <a:pt x="868983" y="1143000"/>
                                            </a:cubicBezTo>
                                            <a:cubicBezTo>
                                              <a:pt x="877963" y="1147490"/>
                                              <a:pt x="887654" y="1150874"/>
                                              <a:pt x="897558" y="1152525"/>
                                            </a:cubicBezTo>
                                            <a:cubicBezTo>
                                              <a:pt x="925918" y="1157252"/>
                                              <a:pt x="954708" y="1158875"/>
                                              <a:pt x="983283" y="1162050"/>
                                            </a:cubicBezTo>
                                            <a:cubicBezTo>
                                              <a:pt x="992808" y="1168400"/>
                                              <a:pt x="1003763" y="1173005"/>
                                              <a:pt x="1011858" y="1181100"/>
                                            </a:cubicBezTo>
                                            <a:cubicBezTo>
                                              <a:pt x="1019953" y="1189195"/>
                                              <a:pt x="1021383" y="1203325"/>
                                              <a:pt x="1030908" y="1209675"/>
                                            </a:cubicBezTo>
                                            <a:cubicBezTo>
                                              <a:pt x="1041800" y="1216937"/>
                                              <a:pt x="1055989" y="1217830"/>
                                              <a:pt x="1069008" y="1219200"/>
                                            </a:cubicBezTo>
                                            <a:cubicBezTo>
                                              <a:pt x="1116476" y="1224197"/>
                                              <a:pt x="1164258" y="1225550"/>
                                              <a:pt x="1211883" y="1228725"/>
                                            </a:cubicBezTo>
                                            <a:cubicBezTo>
                                              <a:pt x="1218233" y="1247775"/>
                                              <a:pt x="1212972" y="1276895"/>
                                              <a:pt x="1230933" y="1285875"/>
                                            </a:cubicBezTo>
                                            <a:cubicBezTo>
                                              <a:pt x="1254224" y="1297520"/>
                                              <a:pt x="1277413" y="1307146"/>
                                              <a:pt x="1297608" y="1323975"/>
                                            </a:cubicBezTo>
                                            <a:cubicBezTo>
                                              <a:pt x="1370947" y="1385091"/>
                                              <a:pt x="1283812" y="1324302"/>
                                              <a:pt x="1354758" y="1371600"/>
                                            </a:cubicBezTo>
                                            <a:cubicBezTo>
                                              <a:pt x="1361108" y="1352550"/>
                                              <a:pt x="1370507" y="1334257"/>
                                              <a:pt x="1373808" y="1314450"/>
                                            </a:cubicBezTo>
                                            <a:cubicBezTo>
                                              <a:pt x="1376983" y="1295400"/>
                                              <a:pt x="1376160" y="1275231"/>
                                              <a:pt x="1383333" y="1257300"/>
                                            </a:cubicBezTo>
                                            <a:cubicBezTo>
                                              <a:pt x="1389229" y="1242560"/>
                                              <a:pt x="1398031" y="1226910"/>
                                              <a:pt x="1411908" y="1219200"/>
                                            </a:cubicBezTo>
                                            <a:cubicBezTo>
                                              <a:pt x="1428790" y="1209821"/>
                                              <a:pt x="1450008" y="1212850"/>
                                              <a:pt x="1469058" y="1209675"/>
                                            </a:cubicBezTo>
                                            <a:cubicBezTo>
                                              <a:pt x="1470602" y="1197322"/>
                                              <a:pt x="1488726" y="1055161"/>
                                              <a:pt x="1488108" y="1047750"/>
                                            </a:cubicBezTo>
                                            <a:cubicBezTo>
                                              <a:pt x="1487157" y="1036342"/>
                                              <a:pt x="1475408" y="1028700"/>
                                              <a:pt x="1469058" y="1019175"/>
                                            </a:cubicBezTo>
                                            <a:cubicBezTo>
                                              <a:pt x="1488108" y="1016000"/>
                                              <a:pt x="1511545" y="1022219"/>
                                              <a:pt x="1526208" y="1009650"/>
                                            </a:cubicBezTo>
                                            <a:cubicBezTo>
                                              <a:pt x="1538500" y="999114"/>
                                              <a:pt x="1520374" y="967145"/>
                                              <a:pt x="1535733" y="962025"/>
                                            </a:cubicBezTo>
                                            <a:cubicBezTo>
                                              <a:pt x="1560571" y="953746"/>
                                              <a:pt x="1611933" y="981075"/>
                                              <a:pt x="1611933" y="981075"/>
                                            </a:cubicBezTo>
                                            <a:cubicBezTo>
                                              <a:pt x="1630983" y="993775"/>
                                              <a:pt x="1652894" y="1002986"/>
                                              <a:pt x="1669083" y="1019175"/>
                                            </a:cubicBezTo>
                                            <a:cubicBezTo>
                                              <a:pt x="1690149" y="1040241"/>
                                              <a:pt x="1699711" y="1053539"/>
                                              <a:pt x="1726233" y="1066800"/>
                                            </a:cubicBezTo>
                                            <a:cubicBezTo>
                                              <a:pt x="1735213" y="1071290"/>
                                              <a:pt x="1745283" y="1073150"/>
                                              <a:pt x="1754808" y="1076325"/>
                                            </a:cubicBezTo>
                                            <a:cubicBezTo>
                                              <a:pt x="1764333" y="1073150"/>
                                              <a:pt x="1775029" y="1072369"/>
                                              <a:pt x="1783383" y="1066800"/>
                                            </a:cubicBezTo>
                                            <a:cubicBezTo>
                                              <a:pt x="1794591" y="1059328"/>
                                              <a:pt x="1804486" y="1049433"/>
                                              <a:pt x="1811958" y="1038225"/>
                                            </a:cubicBezTo>
                                            <a:cubicBezTo>
                                              <a:pt x="1822679" y="1022143"/>
                                              <a:pt x="1829279" y="960280"/>
                                              <a:pt x="1831008" y="952500"/>
                                            </a:cubicBezTo>
                                            <a:cubicBezTo>
                                              <a:pt x="1833186" y="942699"/>
                                              <a:pt x="1837358" y="933450"/>
                                              <a:pt x="1840533" y="923925"/>
                                            </a:cubicBezTo>
                                            <a:cubicBezTo>
                                              <a:pt x="1834183" y="911225"/>
                                              <a:pt x="1829736" y="897379"/>
                                              <a:pt x="1821483" y="885825"/>
                                            </a:cubicBezTo>
                                            <a:cubicBezTo>
                                              <a:pt x="1804815" y="862490"/>
                                              <a:pt x="1787118" y="853390"/>
                                              <a:pt x="1764333" y="838200"/>
                                            </a:cubicBezTo>
                                            <a:cubicBezTo>
                                              <a:pt x="1740392" y="766376"/>
                                              <a:pt x="1772687" y="854908"/>
                                              <a:pt x="1735758" y="781050"/>
                                            </a:cubicBezTo>
                                            <a:cubicBezTo>
                                              <a:pt x="1715529" y="740593"/>
                                              <a:pt x="1741978" y="758371"/>
                                              <a:pt x="1697658" y="723900"/>
                                            </a:cubicBezTo>
                                            <a:cubicBezTo>
                                              <a:pt x="1679586" y="709844"/>
                                              <a:pt x="1640508" y="685800"/>
                                              <a:pt x="1640508" y="685800"/>
                                            </a:cubicBezTo>
                                            <a:cubicBezTo>
                                              <a:pt x="1621458" y="688975"/>
                                              <a:pt x="1601680" y="689218"/>
                                              <a:pt x="1583358" y="695325"/>
                                            </a:cubicBezTo>
                                            <a:cubicBezTo>
                                              <a:pt x="1545258" y="708025"/>
                                              <a:pt x="1561133" y="717550"/>
                                              <a:pt x="1535733" y="742950"/>
                                            </a:cubicBezTo>
                                            <a:cubicBezTo>
                                              <a:pt x="1527638" y="751045"/>
                                              <a:pt x="1516683" y="755650"/>
                                              <a:pt x="1507158" y="762000"/>
                                            </a:cubicBezTo>
                                            <a:cubicBezTo>
                                              <a:pt x="1475408" y="758825"/>
                                              <a:pt x="1442999" y="759650"/>
                                              <a:pt x="1411908" y="752475"/>
                                            </a:cubicBezTo>
                                            <a:cubicBezTo>
                                              <a:pt x="1396447" y="748907"/>
                                              <a:pt x="1362808" y="714510"/>
                                              <a:pt x="1354758" y="704850"/>
                                            </a:cubicBezTo>
                                            <a:cubicBezTo>
                                              <a:pt x="1347429" y="696056"/>
                                              <a:pt x="1341388" y="686214"/>
                                              <a:pt x="1335708" y="676275"/>
                                            </a:cubicBezTo>
                                            <a:cubicBezTo>
                                              <a:pt x="1328663" y="663947"/>
                                              <a:pt x="1330211" y="642410"/>
                                              <a:pt x="1316658" y="638175"/>
                                            </a:cubicBezTo>
                                            <a:cubicBezTo>
                                              <a:pt x="1274123" y="624883"/>
                                              <a:pt x="1227758" y="631825"/>
                                              <a:pt x="1183308" y="628650"/>
                                            </a:cubicBezTo>
                                            <a:cubicBezTo>
                                              <a:pt x="1164258" y="615950"/>
                                              <a:pt x="1147878" y="597790"/>
                                              <a:pt x="1126158" y="590550"/>
                                            </a:cubicBezTo>
                                            <a:cubicBezTo>
                                              <a:pt x="1116633" y="587375"/>
                                              <a:pt x="1107237" y="583783"/>
                                              <a:pt x="1097583" y="581025"/>
                                            </a:cubicBezTo>
                                            <a:cubicBezTo>
                                              <a:pt x="1083341" y="576956"/>
                                              <a:pt x="1046133" y="569588"/>
                                              <a:pt x="1030908" y="561975"/>
                                            </a:cubicBezTo>
                                            <a:cubicBezTo>
                                              <a:pt x="935249" y="514146"/>
                                              <a:pt x="1081125" y="573972"/>
                                              <a:pt x="964233" y="523875"/>
                                            </a:cubicBezTo>
                                            <a:cubicBezTo>
                                              <a:pt x="945102" y="515676"/>
                                              <a:pt x="916892" y="509658"/>
                                              <a:pt x="897558" y="504825"/>
                                            </a:cubicBezTo>
                                            <a:cubicBezTo>
                                              <a:pt x="888033" y="495300"/>
                                              <a:pt x="880191" y="483722"/>
                                              <a:pt x="868983" y="476250"/>
                                            </a:cubicBezTo>
                                            <a:cubicBezTo>
                                              <a:pt x="860629" y="470681"/>
                                              <a:pt x="841828" y="476664"/>
                                              <a:pt x="840408" y="466725"/>
                                            </a:cubicBezTo>
                                            <a:cubicBezTo>
                                              <a:pt x="832326" y="410152"/>
                                              <a:pt x="855561" y="410874"/>
                                              <a:pt x="888033" y="400050"/>
                                            </a:cubicBezTo>
                                            <a:cubicBezTo>
                                              <a:pt x="891208" y="390525"/>
                                              <a:pt x="895380" y="381276"/>
                                              <a:pt x="897558" y="371475"/>
                                            </a:cubicBezTo>
                                            <a:cubicBezTo>
                                              <a:pt x="901748" y="352622"/>
                                              <a:pt x="897704" y="331207"/>
                                              <a:pt x="907083" y="314325"/>
                                            </a:cubicBezTo>
                                            <a:cubicBezTo>
                                              <a:pt x="914793" y="300448"/>
                                              <a:pt x="934636" y="297615"/>
                                              <a:pt x="945183" y="285750"/>
                                            </a:cubicBezTo>
                                            <a:cubicBezTo>
                                              <a:pt x="969859" y="257990"/>
                                              <a:pt x="984372" y="233769"/>
                                              <a:pt x="992808" y="200025"/>
                                            </a:cubicBezTo>
                                            <a:cubicBezTo>
                                              <a:pt x="996735" y="184319"/>
                                              <a:pt x="999158" y="168275"/>
                                              <a:pt x="1002333" y="152400"/>
                                            </a:cubicBezTo>
                                            <a:cubicBezTo>
                                              <a:pt x="981863" y="111460"/>
                                              <a:pt x="997482" y="114300"/>
                                              <a:pt x="973758" y="114300"/>
                                            </a:cubicBezTo>
                                          </a:path>
                                        </a:pathLst>
                                      </a:custGeom>
                                      <a:solidFill>
                                        <a:schemeClr val="accent3">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100" b="1">
                                            <a:solidFill>
                                              <a:sysClr val="windowText" lastClr="000000"/>
                                            </a:solidFill>
                                          </a:rPr>
                                          <a:t>Independencia</a:t>
                                        </a:r>
                                      </a:p>
                                      <a:p>
                                        <a:pPr algn="l"/>
                                        <a:r>
                                          <a:rPr lang="es-ES" sz="1100" b="1">
                                            <a:solidFill>
                                              <a:sysClr val="windowText" lastClr="000000"/>
                                            </a:solidFill>
                                          </a:rPr>
                                          <a:t>                   4,877</a:t>
                                        </a:r>
                                      </a:p>
                                      <a:p>
                                        <a:pPr algn="l"/>
                                        <a:r>
                                          <a:rPr lang="es-ES" sz="1100" b="1">
                                            <a:solidFill>
                                              <a:sysClr val="windowText" lastClr="000000"/>
                                            </a:solidFill>
                                          </a:rPr>
                                          <a:t>                             0.2%</a:t>
                                        </a:r>
                                      </a:p>
                                    </xdr:txBody>
                                  </xdr:sp>
                                  <xdr:sp macro="" textlink="">
                                    <xdr:nvSpPr>
                                      <xdr:cNvPr id="53" name="Forma libre 52"/>
                                      <xdr:cNvSpPr/>
                                    </xdr:nvSpPr>
                                    <xdr:spPr>
                                      <a:xfrm>
                                        <a:off x="465814" y="3321593"/>
                                        <a:ext cx="821158" cy="431257"/>
                                      </a:xfrm>
                                      <a:custGeom>
                                        <a:avLst/>
                                        <a:gdLst>
                                          <a:gd name="connsiteX0" fmla="*/ 486686 w 821158"/>
                                          <a:gd name="connsiteY0" fmla="*/ 88357 h 431257"/>
                                          <a:gd name="connsiteX1" fmla="*/ 429536 w 821158"/>
                                          <a:gd name="connsiteY1" fmla="*/ 69307 h 431257"/>
                                          <a:gd name="connsiteX2" fmla="*/ 400961 w 821158"/>
                                          <a:gd name="connsiteY2" fmla="*/ 50257 h 431257"/>
                                          <a:gd name="connsiteX3" fmla="*/ 343811 w 821158"/>
                                          <a:gd name="connsiteY3" fmla="*/ 31207 h 431257"/>
                                          <a:gd name="connsiteX4" fmla="*/ 334286 w 821158"/>
                                          <a:gd name="connsiteY4" fmla="*/ 2632 h 431257"/>
                                          <a:gd name="connsiteX5" fmla="*/ 248561 w 821158"/>
                                          <a:gd name="connsiteY5" fmla="*/ 31207 h 431257"/>
                                          <a:gd name="connsiteX6" fmla="*/ 229511 w 821158"/>
                                          <a:gd name="connsiteY6" fmla="*/ 88357 h 431257"/>
                                          <a:gd name="connsiteX7" fmla="*/ 239036 w 821158"/>
                                          <a:gd name="connsiteY7" fmla="*/ 116932 h 431257"/>
                                          <a:gd name="connsiteX8" fmla="*/ 96161 w 821158"/>
                                          <a:gd name="connsiteY8" fmla="*/ 107407 h 431257"/>
                                          <a:gd name="connsiteX9" fmla="*/ 39011 w 821158"/>
                                          <a:gd name="connsiteY9" fmla="*/ 69307 h 431257"/>
                                          <a:gd name="connsiteX10" fmla="*/ 10436 w 821158"/>
                                          <a:gd name="connsiteY10" fmla="*/ 88357 h 431257"/>
                                          <a:gd name="connsiteX11" fmla="*/ 29486 w 821158"/>
                                          <a:gd name="connsiteY11" fmla="*/ 126457 h 431257"/>
                                          <a:gd name="connsiteX12" fmla="*/ 58061 w 821158"/>
                                          <a:gd name="connsiteY12" fmla="*/ 183607 h 431257"/>
                                          <a:gd name="connsiteX13" fmla="*/ 86636 w 821158"/>
                                          <a:gd name="connsiteY13" fmla="*/ 193132 h 431257"/>
                                          <a:gd name="connsiteX14" fmla="*/ 210461 w 821158"/>
                                          <a:gd name="connsiteY14" fmla="*/ 221707 h 431257"/>
                                          <a:gd name="connsiteX15" fmla="*/ 219986 w 821158"/>
                                          <a:gd name="connsiteY15" fmla="*/ 259807 h 431257"/>
                                          <a:gd name="connsiteX16" fmla="*/ 229511 w 821158"/>
                                          <a:gd name="connsiteY16" fmla="*/ 288382 h 431257"/>
                                          <a:gd name="connsiteX17" fmla="*/ 267611 w 821158"/>
                                          <a:gd name="connsiteY17" fmla="*/ 297907 h 431257"/>
                                          <a:gd name="connsiteX18" fmla="*/ 296186 w 821158"/>
                                          <a:gd name="connsiteY18" fmla="*/ 316957 h 431257"/>
                                          <a:gd name="connsiteX19" fmla="*/ 305711 w 821158"/>
                                          <a:gd name="connsiteY19" fmla="*/ 345532 h 431257"/>
                                          <a:gd name="connsiteX20" fmla="*/ 334286 w 821158"/>
                                          <a:gd name="connsiteY20" fmla="*/ 355057 h 431257"/>
                                          <a:gd name="connsiteX21" fmla="*/ 381911 w 821158"/>
                                          <a:gd name="connsiteY21" fmla="*/ 364582 h 431257"/>
                                          <a:gd name="connsiteX22" fmla="*/ 439061 w 821158"/>
                                          <a:gd name="connsiteY22" fmla="*/ 393157 h 431257"/>
                                          <a:gd name="connsiteX23" fmla="*/ 524786 w 821158"/>
                                          <a:gd name="connsiteY23" fmla="*/ 431257 h 431257"/>
                                          <a:gd name="connsiteX24" fmla="*/ 648611 w 821158"/>
                                          <a:gd name="connsiteY24" fmla="*/ 421732 h 431257"/>
                                          <a:gd name="connsiteX25" fmla="*/ 677186 w 821158"/>
                                          <a:gd name="connsiteY25" fmla="*/ 402682 h 431257"/>
                                          <a:gd name="connsiteX26" fmla="*/ 705761 w 821158"/>
                                          <a:gd name="connsiteY26" fmla="*/ 393157 h 431257"/>
                                          <a:gd name="connsiteX27" fmla="*/ 801011 w 821158"/>
                                          <a:gd name="connsiteY27" fmla="*/ 383632 h 431257"/>
                                          <a:gd name="connsiteX28" fmla="*/ 810536 w 821158"/>
                                          <a:gd name="connsiteY28" fmla="*/ 316957 h 431257"/>
                                          <a:gd name="connsiteX29" fmla="*/ 753386 w 821158"/>
                                          <a:gd name="connsiteY29" fmla="*/ 297907 h 431257"/>
                                          <a:gd name="connsiteX30" fmla="*/ 639086 w 821158"/>
                                          <a:gd name="connsiteY30" fmla="*/ 259807 h 431257"/>
                                          <a:gd name="connsiteX31" fmla="*/ 610511 w 821158"/>
                                          <a:gd name="connsiteY31" fmla="*/ 250282 h 431257"/>
                                          <a:gd name="connsiteX32" fmla="*/ 581936 w 821158"/>
                                          <a:gd name="connsiteY32" fmla="*/ 240757 h 431257"/>
                                          <a:gd name="connsiteX33" fmla="*/ 467636 w 821158"/>
                                          <a:gd name="connsiteY33" fmla="*/ 183607 h 431257"/>
                                          <a:gd name="connsiteX34" fmla="*/ 439061 w 821158"/>
                                          <a:gd name="connsiteY34" fmla="*/ 174082 h 431257"/>
                                          <a:gd name="connsiteX35" fmla="*/ 448586 w 821158"/>
                                          <a:gd name="connsiteY35" fmla="*/ 135982 h 431257"/>
                                          <a:gd name="connsiteX36" fmla="*/ 486686 w 821158"/>
                                          <a:gd name="connsiteY36" fmla="*/ 88357 h 4312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821158" h="431257">
                                            <a:moveTo>
                                              <a:pt x="486686" y="88357"/>
                                            </a:moveTo>
                                            <a:cubicBezTo>
                                              <a:pt x="483511" y="77244"/>
                                              <a:pt x="447886" y="77462"/>
                                              <a:pt x="429536" y="69307"/>
                                            </a:cubicBezTo>
                                            <a:cubicBezTo>
                                              <a:pt x="419075" y="64658"/>
                                              <a:pt x="411422" y="54906"/>
                                              <a:pt x="400961" y="50257"/>
                                            </a:cubicBezTo>
                                            <a:cubicBezTo>
                                              <a:pt x="382611" y="42102"/>
                                              <a:pt x="343811" y="31207"/>
                                              <a:pt x="343811" y="31207"/>
                                            </a:cubicBezTo>
                                            <a:cubicBezTo>
                                              <a:pt x="340636" y="21682"/>
                                              <a:pt x="343940" y="5390"/>
                                              <a:pt x="334286" y="2632"/>
                                            </a:cubicBezTo>
                                            <a:cubicBezTo>
                                              <a:pt x="298354" y="-7634"/>
                                              <a:pt x="273935" y="14291"/>
                                              <a:pt x="248561" y="31207"/>
                                            </a:cubicBezTo>
                                            <a:cubicBezTo>
                                              <a:pt x="242211" y="50257"/>
                                              <a:pt x="223161" y="69307"/>
                                              <a:pt x="229511" y="88357"/>
                                            </a:cubicBezTo>
                                            <a:cubicBezTo>
                                              <a:pt x="232686" y="97882"/>
                                              <a:pt x="248975" y="115512"/>
                                              <a:pt x="239036" y="116932"/>
                                            </a:cubicBezTo>
                                            <a:cubicBezTo>
                                              <a:pt x="191785" y="123682"/>
                                              <a:pt x="143786" y="110582"/>
                                              <a:pt x="96161" y="107407"/>
                                            </a:cubicBezTo>
                                            <a:cubicBezTo>
                                              <a:pt x="84265" y="95511"/>
                                              <a:pt x="62642" y="65369"/>
                                              <a:pt x="39011" y="69307"/>
                                            </a:cubicBezTo>
                                            <a:cubicBezTo>
                                              <a:pt x="27719" y="71189"/>
                                              <a:pt x="19961" y="82007"/>
                                              <a:pt x="10436" y="88357"/>
                                            </a:cubicBezTo>
                                            <a:cubicBezTo>
                                              <a:pt x="-6943" y="140494"/>
                                              <a:pt x="-3935" y="99720"/>
                                              <a:pt x="29486" y="126457"/>
                                            </a:cubicBezTo>
                                            <a:cubicBezTo>
                                              <a:pt x="117814" y="197120"/>
                                              <a:pt x="-10961" y="114585"/>
                                              <a:pt x="58061" y="183607"/>
                                            </a:cubicBezTo>
                                            <a:cubicBezTo>
                                              <a:pt x="65161" y="190707"/>
                                              <a:pt x="77656" y="188642"/>
                                              <a:pt x="86636" y="193132"/>
                                            </a:cubicBezTo>
                                            <a:cubicBezTo>
                                              <a:pt x="164729" y="232178"/>
                                              <a:pt x="39799" y="204641"/>
                                              <a:pt x="210461" y="221707"/>
                                            </a:cubicBezTo>
                                            <a:cubicBezTo>
                                              <a:pt x="213636" y="234407"/>
                                              <a:pt x="216390" y="247220"/>
                                              <a:pt x="219986" y="259807"/>
                                            </a:cubicBezTo>
                                            <a:cubicBezTo>
                                              <a:pt x="222744" y="269461"/>
                                              <a:pt x="221671" y="282110"/>
                                              <a:pt x="229511" y="288382"/>
                                            </a:cubicBezTo>
                                            <a:cubicBezTo>
                                              <a:pt x="239733" y="296560"/>
                                              <a:pt x="254911" y="294732"/>
                                              <a:pt x="267611" y="297907"/>
                                            </a:cubicBezTo>
                                            <a:cubicBezTo>
                                              <a:pt x="277136" y="304257"/>
                                              <a:pt x="289035" y="308018"/>
                                              <a:pt x="296186" y="316957"/>
                                            </a:cubicBezTo>
                                            <a:cubicBezTo>
                                              <a:pt x="302458" y="324797"/>
                                              <a:pt x="298611" y="338432"/>
                                              <a:pt x="305711" y="345532"/>
                                            </a:cubicBezTo>
                                            <a:cubicBezTo>
                                              <a:pt x="312811" y="352632"/>
                                              <a:pt x="324546" y="352622"/>
                                              <a:pt x="334286" y="355057"/>
                                            </a:cubicBezTo>
                                            <a:cubicBezTo>
                                              <a:pt x="349992" y="358984"/>
                                              <a:pt x="366205" y="360655"/>
                                              <a:pt x="381911" y="364582"/>
                                            </a:cubicBezTo>
                                            <a:cubicBezTo>
                                              <a:pt x="441461" y="379470"/>
                                              <a:pt x="379197" y="366551"/>
                                              <a:pt x="439061" y="393157"/>
                                            </a:cubicBezTo>
                                            <a:cubicBezTo>
                                              <a:pt x="541076" y="438497"/>
                                              <a:pt x="460117" y="388144"/>
                                              <a:pt x="524786" y="431257"/>
                                            </a:cubicBezTo>
                                            <a:cubicBezTo>
                                              <a:pt x="566061" y="428082"/>
                                              <a:pt x="607923" y="429361"/>
                                              <a:pt x="648611" y="421732"/>
                                            </a:cubicBezTo>
                                            <a:cubicBezTo>
                                              <a:pt x="659863" y="419622"/>
                                              <a:pt x="666947" y="407802"/>
                                              <a:pt x="677186" y="402682"/>
                                            </a:cubicBezTo>
                                            <a:cubicBezTo>
                                              <a:pt x="686166" y="398192"/>
                                              <a:pt x="695838" y="394684"/>
                                              <a:pt x="705761" y="393157"/>
                                            </a:cubicBezTo>
                                            <a:cubicBezTo>
                                              <a:pt x="737298" y="388305"/>
                                              <a:pt x="769261" y="386807"/>
                                              <a:pt x="801011" y="383632"/>
                                            </a:cubicBezTo>
                                            <a:cubicBezTo>
                                              <a:pt x="807860" y="369933"/>
                                              <a:pt x="836353" y="335398"/>
                                              <a:pt x="810536" y="316957"/>
                                            </a:cubicBezTo>
                                            <a:cubicBezTo>
                                              <a:pt x="794196" y="305285"/>
                                              <a:pt x="772436" y="304257"/>
                                              <a:pt x="753386" y="297907"/>
                                            </a:cubicBezTo>
                                            <a:lnTo>
                                              <a:pt x="639086" y="259807"/>
                                            </a:lnTo>
                                            <a:lnTo>
                                              <a:pt x="610511" y="250282"/>
                                            </a:lnTo>
                                            <a:cubicBezTo>
                                              <a:pt x="600986" y="247107"/>
                                              <a:pt x="590290" y="246326"/>
                                              <a:pt x="581936" y="240757"/>
                                            </a:cubicBezTo>
                                            <a:cubicBezTo>
                                              <a:pt x="508078" y="191518"/>
                                              <a:pt x="546506" y="209897"/>
                                              <a:pt x="467636" y="183607"/>
                                            </a:cubicBezTo>
                                            <a:lnTo>
                                              <a:pt x="439061" y="174082"/>
                                            </a:lnTo>
                                            <a:cubicBezTo>
                                              <a:pt x="442236" y="161382"/>
                                              <a:pt x="441324" y="146874"/>
                                              <a:pt x="448586" y="135982"/>
                                            </a:cubicBezTo>
                                            <a:cubicBezTo>
                                              <a:pt x="454333" y="127361"/>
                                              <a:pt x="489861" y="99470"/>
                                              <a:pt x="486686" y="88357"/>
                                            </a:cubicBez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4" name="Forma libre 53"/>
                                      <xdr:cNvSpPr/>
                                    </xdr:nvSpPr>
                                    <xdr:spPr>
                                      <a:xfrm>
                                        <a:off x="895350" y="3104740"/>
                                        <a:ext cx="1571942" cy="849960"/>
                                      </a:xfrm>
                                      <a:custGeom>
                                        <a:avLst/>
                                        <a:gdLst>
                                          <a:gd name="connsiteX0" fmla="*/ 723900 w 1571942"/>
                                          <a:gd name="connsiteY0" fmla="*/ 190910 h 849960"/>
                                          <a:gd name="connsiteX1" fmla="*/ 638175 w 1571942"/>
                                          <a:gd name="connsiteY1" fmla="*/ 181385 h 849960"/>
                                          <a:gd name="connsiteX2" fmla="*/ 609600 w 1571942"/>
                                          <a:gd name="connsiteY2" fmla="*/ 171860 h 849960"/>
                                          <a:gd name="connsiteX3" fmla="*/ 619125 w 1571942"/>
                                          <a:gd name="connsiteY3" fmla="*/ 143285 h 849960"/>
                                          <a:gd name="connsiteX4" fmla="*/ 581025 w 1571942"/>
                                          <a:gd name="connsiteY4" fmla="*/ 143285 h 849960"/>
                                          <a:gd name="connsiteX5" fmla="*/ 542925 w 1571942"/>
                                          <a:gd name="connsiteY5" fmla="*/ 124235 h 849960"/>
                                          <a:gd name="connsiteX6" fmla="*/ 533400 w 1571942"/>
                                          <a:gd name="connsiteY6" fmla="*/ 95660 h 849960"/>
                                          <a:gd name="connsiteX7" fmla="*/ 504825 w 1571942"/>
                                          <a:gd name="connsiteY7" fmla="*/ 86135 h 849960"/>
                                          <a:gd name="connsiteX8" fmla="*/ 476250 w 1571942"/>
                                          <a:gd name="connsiteY8" fmla="*/ 67085 h 849960"/>
                                          <a:gd name="connsiteX9" fmla="*/ 447675 w 1571942"/>
                                          <a:gd name="connsiteY9" fmla="*/ 76610 h 849960"/>
                                          <a:gd name="connsiteX10" fmla="*/ 428625 w 1571942"/>
                                          <a:gd name="connsiteY10" fmla="*/ 105185 h 849960"/>
                                          <a:gd name="connsiteX11" fmla="*/ 342900 w 1571942"/>
                                          <a:gd name="connsiteY11" fmla="*/ 95660 h 849960"/>
                                          <a:gd name="connsiteX12" fmla="*/ 323850 w 1571942"/>
                                          <a:gd name="connsiteY12" fmla="*/ 67085 h 849960"/>
                                          <a:gd name="connsiteX13" fmla="*/ 200025 w 1571942"/>
                                          <a:gd name="connsiteY13" fmla="*/ 38510 h 849960"/>
                                          <a:gd name="connsiteX14" fmla="*/ 190500 w 1571942"/>
                                          <a:gd name="connsiteY14" fmla="*/ 410 h 849960"/>
                                          <a:gd name="connsiteX15" fmla="*/ 171450 w 1571942"/>
                                          <a:gd name="connsiteY15" fmla="*/ 28985 h 849960"/>
                                          <a:gd name="connsiteX16" fmla="*/ 142875 w 1571942"/>
                                          <a:gd name="connsiteY16" fmla="*/ 124235 h 849960"/>
                                          <a:gd name="connsiteX17" fmla="*/ 114300 w 1571942"/>
                                          <a:gd name="connsiteY17" fmla="*/ 219485 h 849960"/>
                                          <a:gd name="connsiteX18" fmla="*/ 47625 w 1571942"/>
                                          <a:gd name="connsiteY18" fmla="*/ 305210 h 849960"/>
                                          <a:gd name="connsiteX19" fmla="*/ 38100 w 1571942"/>
                                          <a:gd name="connsiteY19" fmla="*/ 333785 h 849960"/>
                                          <a:gd name="connsiteX20" fmla="*/ 28575 w 1571942"/>
                                          <a:gd name="connsiteY20" fmla="*/ 381410 h 849960"/>
                                          <a:gd name="connsiteX21" fmla="*/ 0 w 1571942"/>
                                          <a:gd name="connsiteY21" fmla="*/ 400460 h 849960"/>
                                          <a:gd name="connsiteX22" fmla="*/ 28575 w 1571942"/>
                                          <a:gd name="connsiteY22" fmla="*/ 409985 h 849960"/>
                                          <a:gd name="connsiteX23" fmla="*/ 57150 w 1571942"/>
                                          <a:gd name="connsiteY23" fmla="*/ 429035 h 849960"/>
                                          <a:gd name="connsiteX24" fmla="*/ 190500 w 1571942"/>
                                          <a:gd name="connsiteY24" fmla="*/ 438560 h 849960"/>
                                          <a:gd name="connsiteX25" fmla="*/ 228600 w 1571942"/>
                                          <a:gd name="connsiteY25" fmla="*/ 486185 h 849960"/>
                                          <a:gd name="connsiteX26" fmla="*/ 257175 w 1571942"/>
                                          <a:gd name="connsiteY26" fmla="*/ 505235 h 849960"/>
                                          <a:gd name="connsiteX27" fmla="*/ 323850 w 1571942"/>
                                          <a:gd name="connsiteY27" fmla="*/ 533810 h 849960"/>
                                          <a:gd name="connsiteX28" fmla="*/ 361950 w 1571942"/>
                                          <a:gd name="connsiteY28" fmla="*/ 562385 h 849960"/>
                                          <a:gd name="connsiteX29" fmla="*/ 371475 w 1571942"/>
                                          <a:gd name="connsiteY29" fmla="*/ 590960 h 849960"/>
                                          <a:gd name="connsiteX30" fmla="*/ 476250 w 1571942"/>
                                          <a:gd name="connsiteY30" fmla="*/ 600485 h 849960"/>
                                          <a:gd name="connsiteX31" fmla="*/ 485775 w 1571942"/>
                                          <a:gd name="connsiteY31" fmla="*/ 629060 h 849960"/>
                                          <a:gd name="connsiteX32" fmla="*/ 495300 w 1571942"/>
                                          <a:gd name="connsiteY32" fmla="*/ 695735 h 849960"/>
                                          <a:gd name="connsiteX33" fmla="*/ 552450 w 1571942"/>
                                          <a:gd name="connsiteY33" fmla="*/ 724310 h 849960"/>
                                          <a:gd name="connsiteX34" fmla="*/ 676275 w 1571942"/>
                                          <a:gd name="connsiteY34" fmla="*/ 695735 h 849960"/>
                                          <a:gd name="connsiteX35" fmla="*/ 742950 w 1571942"/>
                                          <a:gd name="connsiteY35" fmla="*/ 676685 h 849960"/>
                                          <a:gd name="connsiteX36" fmla="*/ 771525 w 1571942"/>
                                          <a:gd name="connsiteY36" fmla="*/ 657635 h 849960"/>
                                          <a:gd name="connsiteX37" fmla="*/ 838200 w 1571942"/>
                                          <a:gd name="connsiteY37" fmla="*/ 638585 h 849960"/>
                                          <a:gd name="connsiteX38" fmla="*/ 876300 w 1571942"/>
                                          <a:gd name="connsiteY38" fmla="*/ 733835 h 849960"/>
                                          <a:gd name="connsiteX39" fmla="*/ 981075 w 1571942"/>
                                          <a:gd name="connsiteY39" fmla="*/ 800510 h 849960"/>
                                          <a:gd name="connsiteX40" fmla="*/ 1009650 w 1571942"/>
                                          <a:gd name="connsiteY40" fmla="*/ 810035 h 849960"/>
                                          <a:gd name="connsiteX41" fmla="*/ 1038225 w 1571942"/>
                                          <a:gd name="connsiteY41" fmla="*/ 838610 h 849960"/>
                                          <a:gd name="connsiteX42" fmla="*/ 1143000 w 1571942"/>
                                          <a:gd name="connsiteY42" fmla="*/ 838610 h 849960"/>
                                          <a:gd name="connsiteX43" fmla="*/ 1066800 w 1571942"/>
                                          <a:gd name="connsiteY43" fmla="*/ 810035 h 849960"/>
                                          <a:gd name="connsiteX44" fmla="*/ 1047750 w 1571942"/>
                                          <a:gd name="connsiteY44" fmla="*/ 781460 h 849960"/>
                                          <a:gd name="connsiteX45" fmla="*/ 1057275 w 1571942"/>
                                          <a:gd name="connsiteY45" fmla="*/ 743360 h 849960"/>
                                          <a:gd name="connsiteX46" fmla="*/ 1114425 w 1571942"/>
                                          <a:gd name="connsiteY46" fmla="*/ 714785 h 849960"/>
                                          <a:gd name="connsiteX47" fmla="*/ 1133475 w 1571942"/>
                                          <a:gd name="connsiteY47" fmla="*/ 686210 h 849960"/>
                                          <a:gd name="connsiteX48" fmla="*/ 1143000 w 1571942"/>
                                          <a:gd name="connsiteY48" fmla="*/ 638585 h 849960"/>
                                          <a:gd name="connsiteX49" fmla="*/ 1238250 w 1571942"/>
                                          <a:gd name="connsiteY49" fmla="*/ 629060 h 849960"/>
                                          <a:gd name="connsiteX50" fmla="*/ 1209675 w 1571942"/>
                                          <a:gd name="connsiteY50" fmla="*/ 610010 h 849960"/>
                                          <a:gd name="connsiteX51" fmla="*/ 1295400 w 1571942"/>
                                          <a:gd name="connsiteY51" fmla="*/ 600485 h 849960"/>
                                          <a:gd name="connsiteX52" fmla="*/ 1304925 w 1571942"/>
                                          <a:gd name="connsiteY52" fmla="*/ 533810 h 849960"/>
                                          <a:gd name="connsiteX53" fmla="*/ 1371600 w 1571942"/>
                                          <a:gd name="connsiteY53" fmla="*/ 524285 h 849960"/>
                                          <a:gd name="connsiteX54" fmla="*/ 1400175 w 1571942"/>
                                          <a:gd name="connsiteY54" fmla="*/ 505235 h 849960"/>
                                          <a:gd name="connsiteX55" fmla="*/ 1438275 w 1571942"/>
                                          <a:gd name="connsiteY55" fmla="*/ 467135 h 849960"/>
                                          <a:gd name="connsiteX56" fmla="*/ 1447800 w 1571942"/>
                                          <a:gd name="connsiteY56" fmla="*/ 419510 h 849960"/>
                                          <a:gd name="connsiteX57" fmla="*/ 1457325 w 1571942"/>
                                          <a:gd name="connsiteY57" fmla="*/ 390935 h 849960"/>
                                          <a:gd name="connsiteX58" fmla="*/ 1485900 w 1571942"/>
                                          <a:gd name="connsiteY58" fmla="*/ 381410 h 849960"/>
                                          <a:gd name="connsiteX59" fmla="*/ 1485900 w 1571942"/>
                                          <a:gd name="connsiteY59" fmla="*/ 409985 h 849960"/>
                                          <a:gd name="connsiteX60" fmla="*/ 1514475 w 1571942"/>
                                          <a:gd name="connsiteY60" fmla="*/ 419510 h 849960"/>
                                          <a:gd name="connsiteX61" fmla="*/ 1571625 w 1571942"/>
                                          <a:gd name="connsiteY61" fmla="*/ 371885 h 849960"/>
                                          <a:gd name="connsiteX62" fmla="*/ 1543050 w 1571942"/>
                                          <a:gd name="connsiteY62" fmla="*/ 352835 h 849960"/>
                                          <a:gd name="connsiteX63" fmla="*/ 1504950 w 1571942"/>
                                          <a:gd name="connsiteY63" fmla="*/ 343310 h 849960"/>
                                          <a:gd name="connsiteX64" fmla="*/ 1400175 w 1571942"/>
                                          <a:gd name="connsiteY64" fmla="*/ 314735 h 849960"/>
                                          <a:gd name="connsiteX65" fmla="*/ 1371600 w 1571942"/>
                                          <a:gd name="connsiteY65" fmla="*/ 286160 h 849960"/>
                                          <a:gd name="connsiteX66" fmla="*/ 1333500 w 1571942"/>
                                          <a:gd name="connsiteY66" fmla="*/ 276635 h 849960"/>
                                          <a:gd name="connsiteX67" fmla="*/ 1304925 w 1571942"/>
                                          <a:gd name="connsiteY67" fmla="*/ 267110 h 849960"/>
                                          <a:gd name="connsiteX68" fmla="*/ 1238250 w 1571942"/>
                                          <a:gd name="connsiteY68" fmla="*/ 238535 h 849960"/>
                                          <a:gd name="connsiteX69" fmla="*/ 1209675 w 1571942"/>
                                          <a:gd name="connsiteY69" fmla="*/ 209960 h 849960"/>
                                          <a:gd name="connsiteX70" fmla="*/ 1200150 w 1571942"/>
                                          <a:gd name="connsiteY70" fmla="*/ 181385 h 849960"/>
                                          <a:gd name="connsiteX71" fmla="*/ 1181100 w 1571942"/>
                                          <a:gd name="connsiteY71" fmla="*/ 152810 h 849960"/>
                                          <a:gd name="connsiteX72" fmla="*/ 1123950 w 1571942"/>
                                          <a:gd name="connsiteY72" fmla="*/ 114710 h 849960"/>
                                          <a:gd name="connsiteX73" fmla="*/ 1019175 w 1571942"/>
                                          <a:gd name="connsiteY73" fmla="*/ 105185 h 849960"/>
                                          <a:gd name="connsiteX74" fmla="*/ 866775 w 1571942"/>
                                          <a:gd name="connsiteY74" fmla="*/ 114710 h 849960"/>
                                          <a:gd name="connsiteX75" fmla="*/ 838200 w 1571942"/>
                                          <a:gd name="connsiteY75" fmla="*/ 133760 h 849960"/>
                                          <a:gd name="connsiteX76" fmla="*/ 809625 w 1571942"/>
                                          <a:gd name="connsiteY76" fmla="*/ 105185 h 849960"/>
                                          <a:gd name="connsiteX77" fmla="*/ 781050 w 1571942"/>
                                          <a:gd name="connsiteY77" fmla="*/ 95660 h 849960"/>
                                          <a:gd name="connsiteX78" fmla="*/ 752475 w 1571942"/>
                                          <a:gd name="connsiteY78" fmla="*/ 105185 h 849960"/>
                                          <a:gd name="connsiteX79" fmla="*/ 733425 w 1571942"/>
                                          <a:gd name="connsiteY79" fmla="*/ 171860 h 849960"/>
                                          <a:gd name="connsiteX80" fmla="*/ 704850 w 1571942"/>
                                          <a:gd name="connsiteY80" fmla="*/ 181385 h 849960"/>
                                          <a:gd name="connsiteX81" fmla="*/ 628650 w 1571942"/>
                                          <a:gd name="connsiteY81" fmla="*/ 152810 h 8499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1571942" h="849960">
                                            <a:moveTo>
                                              <a:pt x="723900" y="190910"/>
                                            </a:moveTo>
                                            <a:cubicBezTo>
                                              <a:pt x="695325" y="187735"/>
                                              <a:pt x="666535" y="186112"/>
                                              <a:pt x="638175" y="181385"/>
                                            </a:cubicBezTo>
                                            <a:cubicBezTo>
                                              <a:pt x="628271" y="179734"/>
                                              <a:pt x="614090" y="180840"/>
                                              <a:pt x="609600" y="171860"/>
                                            </a:cubicBezTo>
                                            <a:cubicBezTo>
                                              <a:pt x="605110" y="162880"/>
                                              <a:pt x="615950" y="152810"/>
                                              <a:pt x="619125" y="143285"/>
                                            </a:cubicBezTo>
                                            <a:cubicBezTo>
                                              <a:pt x="598088" y="80175"/>
                                              <a:pt x="626429" y="136799"/>
                                              <a:pt x="581025" y="143285"/>
                                            </a:cubicBezTo>
                                            <a:cubicBezTo>
                                              <a:pt x="566969" y="145293"/>
                                              <a:pt x="555625" y="130585"/>
                                              <a:pt x="542925" y="124235"/>
                                            </a:cubicBezTo>
                                            <a:cubicBezTo>
                                              <a:pt x="539750" y="114710"/>
                                              <a:pt x="540500" y="102760"/>
                                              <a:pt x="533400" y="95660"/>
                                            </a:cubicBezTo>
                                            <a:cubicBezTo>
                                              <a:pt x="526300" y="88560"/>
                                              <a:pt x="513805" y="90625"/>
                                              <a:pt x="504825" y="86135"/>
                                            </a:cubicBezTo>
                                            <a:cubicBezTo>
                                              <a:pt x="494586" y="81015"/>
                                              <a:pt x="485775" y="73435"/>
                                              <a:pt x="476250" y="67085"/>
                                            </a:cubicBezTo>
                                            <a:cubicBezTo>
                                              <a:pt x="466725" y="70260"/>
                                              <a:pt x="455515" y="70338"/>
                                              <a:pt x="447675" y="76610"/>
                                            </a:cubicBezTo>
                                            <a:cubicBezTo>
                                              <a:pt x="438736" y="83761"/>
                                              <a:pt x="439888" y="103137"/>
                                              <a:pt x="428625" y="105185"/>
                                            </a:cubicBezTo>
                                            <a:cubicBezTo>
                                              <a:pt x="400338" y="110328"/>
                                              <a:pt x="371475" y="98835"/>
                                              <a:pt x="342900" y="95660"/>
                                            </a:cubicBezTo>
                                            <a:cubicBezTo>
                                              <a:pt x="336550" y="86135"/>
                                              <a:pt x="331945" y="75180"/>
                                              <a:pt x="323850" y="67085"/>
                                            </a:cubicBezTo>
                                            <a:cubicBezTo>
                                              <a:pt x="289142" y="32377"/>
                                              <a:pt x="249758" y="43483"/>
                                              <a:pt x="200025" y="38510"/>
                                            </a:cubicBezTo>
                                            <a:cubicBezTo>
                                              <a:pt x="196850" y="25810"/>
                                              <a:pt x="202919" y="4550"/>
                                              <a:pt x="190500" y="410"/>
                                            </a:cubicBezTo>
                                            <a:cubicBezTo>
                                              <a:pt x="179640" y="-3210"/>
                                              <a:pt x="174739" y="18020"/>
                                              <a:pt x="171450" y="28985"/>
                                            </a:cubicBezTo>
                                            <a:cubicBezTo>
                                              <a:pt x="138018" y="140424"/>
                                              <a:pt x="185743" y="59933"/>
                                              <a:pt x="142875" y="124235"/>
                                            </a:cubicBezTo>
                                            <a:cubicBezTo>
                                              <a:pt x="137550" y="145533"/>
                                              <a:pt x="123576" y="205571"/>
                                              <a:pt x="114300" y="219485"/>
                                            </a:cubicBezTo>
                                            <a:cubicBezTo>
                                              <a:pt x="68728" y="287843"/>
                                              <a:pt x="92389" y="260446"/>
                                              <a:pt x="47625" y="305210"/>
                                            </a:cubicBezTo>
                                            <a:cubicBezTo>
                                              <a:pt x="44450" y="314735"/>
                                              <a:pt x="40535" y="324045"/>
                                              <a:pt x="38100" y="333785"/>
                                            </a:cubicBezTo>
                                            <a:cubicBezTo>
                                              <a:pt x="34173" y="349491"/>
                                              <a:pt x="36607" y="367354"/>
                                              <a:pt x="28575" y="381410"/>
                                            </a:cubicBezTo>
                                            <a:cubicBezTo>
                                              <a:pt x="22895" y="391349"/>
                                              <a:pt x="9525" y="394110"/>
                                              <a:pt x="0" y="400460"/>
                                            </a:cubicBezTo>
                                            <a:cubicBezTo>
                                              <a:pt x="9525" y="403635"/>
                                              <a:pt x="19595" y="405495"/>
                                              <a:pt x="28575" y="409985"/>
                                            </a:cubicBezTo>
                                            <a:cubicBezTo>
                                              <a:pt x="38814" y="415105"/>
                                              <a:pt x="45877" y="427046"/>
                                              <a:pt x="57150" y="429035"/>
                                            </a:cubicBezTo>
                                            <a:cubicBezTo>
                                              <a:pt x="101035" y="436779"/>
                                              <a:pt x="146050" y="435385"/>
                                              <a:pt x="190500" y="438560"/>
                                            </a:cubicBezTo>
                                            <a:cubicBezTo>
                                              <a:pt x="272392" y="493155"/>
                                              <a:pt x="176020" y="420460"/>
                                              <a:pt x="228600" y="486185"/>
                                            </a:cubicBezTo>
                                            <a:cubicBezTo>
                                              <a:pt x="235751" y="495124"/>
                                              <a:pt x="247236" y="499555"/>
                                              <a:pt x="257175" y="505235"/>
                                            </a:cubicBezTo>
                                            <a:cubicBezTo>
                                              <a:pt x="290131" y="524067"/>
                                              <a:pt x="291792" y="523124"/>
                                              <a:pt x="323850" y="533810"/>
                                            </a:cubicBezTo>
                                            <a:cubicBezTo>
                                              <a:pt x="336550" y="543335"/>
                                              <a:pt x="351787" y="550189"/>
                                              <a:pt x="361950" y="562385"/>
                                            </a:cubicBezTo>
                                            <a:cubicBezTo>
                                              <a:pt x="368378" y="570098"/>
                                              <a:pt x="361950" y="587785"/>
                                              <a:pt x="371475" y="590960"/>
                                            </a:cubicBezTo>
                                            <a:cubicBezTo>
                                              <a:pt x="404744" y="602050"/>
                                              <a:pt x="441325" y="597310"/>
                                              <a:pt x="476250" y="600485"/>
                                            </a:cubicBezTo>
                                            <a:cubicBezTo>
                                              <a:pt x="479425" y="610010"/>
                                              <a:pt x="483806" y="619215"/>
                                              <a:pt x="485775" y="629060"/>
                                            </a:cubicBezTo>
                                            <a:cubicBezTo>
                                              <a:pt x="490178" y="651075"/>
                                              <a:pt x="486182" y="675219"/>
                                              <a:pt x="495300" y="695735"/>
                                            </a:cubicBezTo>
                                            <a:cubicBezTo>
                                              <a:pt x="501722" y="710185"/>
                                              <a:pt x="539771" y="720084"/>
                                              <a:pt x="552450" y="724310"/>
                                            </a:cubicBezTo>
                                            <a:cubicBezTo>
                                              <a:pt x="707221" y="702200"/>
                                              <a:pt x="536811" y="730601"/>
                                              <a:pt x="676275" y="695735"/>
                                            </a:cubicBezTo>
                                            <a:cubicBezTo>
                                              <a:pt x="688482" y="692683"/>
                                              <a:pt x="729285" y="683517"/>
                                              <a:pt x="742950" y="676685"/>
                                            </a:cubicBezTo>
                                            <a:cubicBezTo>
                                              <a:pt x="753189" y="671565"/>
                                              <a:pt x="761286" y="662755"/>
                                              <a:pt x="771525" y="657635"/>
                                            </a:cubicBezTo>
                                            <a:cubicBezTo>
                                              <a:pt x="785190" y="650803"/>
                                              <a:pt x="825993" y="641637"/>
                                              <a:pt x="838200" y="638585"/>
                                            </a:cubicBezTo>
                                            <a:cubicBezTo>
                                              <a:pt x="908123" y="661893"/>
                                              <a:pt x="825370" y="624699"/>
                                              <a:pt x="876300" y="733835"/>
                                            </a:cubicBezTo>
                                            <a:cubicBezTo>
                                              <a:pt x="906735" y="799053"/>
                                              <a:pt x="929965" y="787733"/>
                                              <a:pt x="981075" y="800510"/>
                                            </a:cubicBezTo>
                                            <a:cubicBezTo>
                                              <a:pt x="990815" y="802945"/>
                                              <a:pt x="1000125" y="806860"/>
                                              <a:pt x="1009650" y="810035"/>
                                            </a:cubicBezTo>
                                            <a:cubicBezTo>
                                              <a:pt x="1019175" y="819560"/>
                                              <a:pt x="1025718" y="833607"/>
                                              <a:pt x="1038225" y="838610"/>
                                            </a:cubicBezTo>
                                            <a:cubicBezTo>
                                              <a:pt x="1086356" y="857862"/>
                                              <a:pt x="1101489" y="848988"/>
                                              <a:pt x="1143000" y="838610"/>
                                            </a:cubicBezTo>
                                            <a:cubicBezTo>
                                              <a:pt x="1108925" y="831795"/>
                                              <a:pt x="1091326" y="834561"/>
                                              <a:pt x="1066800" y="810035"/>
                                            </a:cubicBezTo>
                                            <a:cubicBezTo>
                                              <a:pt x="1058705" y="801940"/>
                                              <a:pt x="1054100" y="790985"/>
                                              <a:pt x="1047750" y="781460"/>
                                            </a:cubicBezTo>
                                            <a:cubicBezTo>
                                              <a:pt x="1050925" y="768760"/>
                                              <a:pt x="1050013" y="754252"/>
                                              <a:pt x="1057275" y="743360"/>
                                            </a:cubicBezTo>
                                            <a:cubicBezTo>
                                              <a:pt x="1067826" y="727533"/>
                                              <a:pt x="1098125" y="720218"/>
                                              <a:pt x="1114425" y="714785"/>
                                            </a:cubicBezTo>
                                            <a:cubicBezTo>
                                              <a:pt x="1120775" y="705260"/>
                                              <a:pt x="1129455" y="696929"/>
                                              <a:pt x="1133475" y="686210"/>
                                            </a:cubicBezTo>
                                            <a:cubicBezTo>
                                              <a:pt x="1139159" y="671051"/>
                                              <a:pt x="1128787" y="646337"/>
                                              <a:pt x="1143000" y="638585"/>
                                            </a:cubicBezTo>
                                            <a:cubicBezTo>
                                              <a:pt x="1171012" y="623306"/>
                                              <a:pt x="1206500" y="632235"/>
                                              <a:pt x="1238250" y="629060"/>
                                            </a:cubicBezTo>
                                            <a:cubicBezTo>
                                              <a:pt x="1228725" y="622710"/>
                                              <a:pt x="1199436" y="615130"/>
                                              <a:pt x="1209675" y="610010"/>
                                            </a:cubicBezTo>
                                            <a:cubicBezTo>
                                              <a:pt x="1235391" y="597152"/>
                                              <a:pt x="1272949" y="618446"/>
                                              <a:pt x="1295400" y="600485"/>
                                            </a:cubicBezTo>
                                            <a:cubicBezTo>
                                              <a:pt x="1312931" y="586460"/>
                                              <a:pt x="1289050" y="549685"/>
                                              <a:pt x="1304925" y="533810"/>
                                            </a:cubicBezTo>
                                            <a:cubicBezTo>
                                              <a:pt x="1320800" y="517935"/>
                                              <a:pt x="1349375" y="527460"/>
                                              <a:pt x="1371600" y="524285"/>
                                            </a:cubicBezTo>
                                            <a:cubicBezTo>
                                              <a:pt x="1381125" y="517935"/>
                                              <a:pt x="1393024" y="514174"/>
                                              <a:pt x="1400175" y="505235"/>
                                            </a:cubicBezTo>
                                            <a:cubicBezTo>
                                              <a:pt x="1437120" y="459053"/>
                                              <a:pt x="1375930" y="487917"/>
                                              <a:pt x="1438275" y="467135"/>
                                            </a:cubicBezTo>
                                            <a:cubicBezTo>
                                              <a:pt x="1441450" y="451260"/>
                                              <a:pt x="1443873" y="435216"/>
                                              <a:pt x="1447800" y="419510"/>
                                            </a:cubicBezTo>
                                            <a:cubicBezTo>
                                              <a:pt x="1450235" y="409770"/>
                                              <a:pt x="1450225" y="398035"/>
                                              <a:pt x="1457325" y="390935"/>
                                            </a:cubicBezTo>
                                            <a:cubicBezTo>
                                              <a:pt x="1464425" y="383835"/>
                                              <a:pt x="1476375" y="384585"/>
                                              <a:pt x="1485900" y="381410"/>
                                            </a:cubicBezTo>
                                            <a:cubicBezTo>
                                              <a:pt x="1557724" y="405351"/>
                                              <a:pt x="1485900" y="373056"/>
                                              <a:pt x="1485900" y="409985"/>
                                            </a:cubicBezTo>
                                            <a:cubicBezTo>
                                              <a:pt x="1485900" y="420025"/>
                                              <a:pt x="1504950" y="416335"/>
                                              <a:pt x="1514475" y="419510"/>
                                            </a:cubicBezTo>
                                            <a:cubicBezTo>
                                              <a:pt x="1523344" y="415076"/>
                                              <a:pt x="1576521" y="396363"/>
                                              <a:pt x="1571625" y="371885"/>
                                            </a:cubicBezTo>
                                            <a:cubicBezTo>
                                              <a:pt x="1569380" y="360660"/>
                                              <a:pt x="1553572" y="357344"/>
                                              <a:pt x="1543050" y="352835"/>
                                            </a:cubicBezTo>
                                            <a:cubicBezTo>
                                              <a:pt x="1531018" y="347678"/>
                                              <a:pt x="1517489" y="347072"/>
                                              <a:pt x="1504950" y="343310"/>
                                            </a:cubicBezTo>
                                            <a:cubicBezTo>
                                              <a:pt x="1408272" y="314307"/>
                                              <a:pt x="1486977" y="332095"/>
                                              <a:pt x="1400175" y="314735"/>
                                            </a:cubicBezTo>
                                            <a:cubicBezTo>
                                              <a:pt x="1390650" y="305210"/>
                                              <a:pt x="1383296" y="292843"/>
                                              <a:pt x="1371600" y="286160"/>
                                            </a:cubicBezTo>
                                            <a:cubicBezTo>
                                              <a:pt x="1360234" y="279665"/>
                                              <a:pt x="1346087" y="280231"/>
                                              <a:pt x="1333500" y="276635"/>
                                            </a:cubicBezTo>
                                            <a:cubicBezTo>
                                              <a:pt x="1323846" y="273877"/>
                                              <a:pt x="1313905" y="271600"/>
                                              <a:pt x="1304925" y="267110"/>
                                            </a:cubicBezTo>
                                            <a:cubicBezTo>
                                              <a:pt x="1239146" y="234221"/>
                                              <a:pt x="1317544" y="258359"/>
                                              <a:pt x="1238250" y="238535"/>
                                            </a:cubicBezTo>
                                            <a:cubicBezTo>
                                              <a:pt x="1228725" y="229010"/>
                                              <a:pt x="1217147" y="221168"/>
                                              <a:pt x="1209675" y="209960"/>
                                            </a:cubicBezTo>
                                            <a:cubicBezTo>
                                              <a:pt x="1204106" y="201606"/>
                                              <a:pt x="1204640" y="190365"/>
                                              <a:pt x="1200150" y="181385"/>
                                            </a:cubicBezTo>
                                            <a:cubicBezTo>
                                              <a:pt x="1195030" y="171146"/>
                                              <a:pt x="1188429" y="161604"/>
                                              <a:pt x="1181100" y="152810"/>
                                            </a:cubicBezTo>
                                            <a:cubicBezTo>
                                              <a:pt x="1162172" y="130096"/>
                                              <a:pt x="1152822" y="118835"/>
                                              <a:pt x="1123950" y="114710"/>
                                            </a:cubicBezTo>
                                            <a:cubicBezTo>
                                              <a:pt x="1089233" y="109750"/>
                                              <a:pt x="1054100" y="108360"/>
                                              <a:pt x="1019175" y="105185"/>
                                            </a:cubicBezTo>
                                            <a:cubicBezTo>
                                              <a:pt x="968375" y="108360"/>
                                              <a:pt x="917051" y="106772"/>
                                              <a:pt x="866775" y="114710"/>
                                            </a:cubicBezTo>
                                            <a:cubicBezTo>
                                              <a:pt x="855467" y="116495"/>
                                              <a:pt x="849492" y="135642"/>
                                              <a:pt x="838200" y="133760"/>
                                            </a:cubicBezTo>
                                            <a:cubicBezTo>
                                              <a:pt x="824913" y="131545"/>
                                              <a:pt x="820833" y="112657"/>
                                              <a:pt x="809625" y="105185"/>
                                            </a:cubicBezTo>
                                            <a:cubicBezTo>
                                              <a:pt x="801271" y="99616"/>
                                              <a:pt x="790575" y="98835"/>
                                              <a:pt x="781050" y="95660"/>
                                            </a:cubicBezTo>
                                            <a:cubicBezTo>
                                              <a:pt x="771525" y="98835"/>
                                              <a:pt x="759575" y="98085"/>
                                              <a:pt x="752475" y="105185"/>
                                            </a:cubicBezTo>
                                            <a:cubicBezTo>
                                              <a:pt x="747225" y="110435"/>
                                              <a:pt x="734414" y="170624"/>
                                              <a:pt x="733425" y="171860"/>
                                            </a:cubicBezTo>
                                            <a:cubicBezTo>
                                              <a:pt x="727153" y="179700"/>
                                              <a:pt x="714375" y="178210"/>
                                              <a:pt x="704850" y="181385"/>
                                            </a:cubicBezTo>
                                            <a:cubicBezTo>
                                              <a:pt x="622349" y="171072"/>
                                              <a:pt x="628650" y="197458"/>
                                              <a:pt x="628650" y="152810"/>
                                            </a:cubicBezTo>
                                          </a:path>
                                        </a:pathLst>
                                      </a:custGeom>
                                      <a:solidFill>
                                        <a:schemeClr val="accent3">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a:solidFill>
                                              <a:sysClr val="windowText" lastClr="000000"/>
                                            </a:solidFill>
                                          </a:rPr>
                                          <a:t>Bahoruco</a:t>
                                        </a:r>
                                      </a:p>
                                      <a:p>
                                        <a:pPr algn="ctr"/>
                                        <a:r>
                                          <a:rPr lang="es-ES" sz="1100" b="1">
                                            <a:solidFill>
                                              <a:sysClr val="windowText" lastClr="000000"/>
                                            </a:solidFill>
                                          </a:rPr>
                                          <a:t>8,359</a:t>
                                        </a:r>
                                      </a:p>
                                      <a:p>
                                        <a:pPr algn="ctr"/>
                                        <a:r>
                                          <a:rPr lang="es-ES" sz="1100" b="1">
                                            <a:solidFill>
                                              <a:sysClr val="windowText" lastClr="000000"/>
                                            </a:solidFill>
                                          </a:rPr>
                                          <a:t>0.3%</a:t>
                                        </a:r>
                                      </a:p>
                                    </xdr:txBody>
                                  </xdr:sp>
                                  <xdr:sp macro="" textlink="">
                                    <xdr:nvSpPr>
                                      <xdr:cNvPr id="55" name="Forma libre 54"/>
                                      <xdr:cNvSpPr/>
                                    </xdr:nvSpPr>
                                    <xdr:spPr>
                                      <a:xfrm>
                                        <a:off x="1766029" y="655821"/>
                                        <a:ext cx="1681046" cy="1644305"/>
                                      </a:xfrm>
                                      <a:custGeom>
                                        <a:avLst/>
                                        <a:gdLst>
                                          <a:gd name="connsiteX0" fmla="*/ 1247775 w 1666875"/>
                                          <a:gd name="connsiteY0" fmla="*/ 876300 h 1552575"/>
                                          <a:gd name="connsiteX1" fmla="*/ 1352550 w 1666875"/>
                                          <a:gd name="connsiteY1" fmla="*/ 885825 h 1552575"/>
                                          <a:gd name="connsiteX2" fmla="*/ 1371600 w 1666875"/>
                                          <a:gd name="connsiteY2" fmla="*/ 914400 h 1552575"/>
                                          <a:gd name="connsiteX3" fmla="*/ 1381125 w 1666875"/>
                                          <a:gd name="connsiteY3" fmla="*/ 885825 h 1552575"/>
                                          <a:gd name="connsiteX4" fmla="*/ 1390650 w 1666875"/>
                                          <a:gd name="connsiteY4" fmla="*/ 790575 h 1552575"/>
                                          <a:gd name="connsiteX5" fmla="*/ 1419225 w 1666875"/>
                                          <a:gd name="connsiteY5" fmla="*/ 781050 h 1552575"/>
                                          <a:gd name="connsiteX6" fmla="*/ 1447800 w 1666875"/>
                                          <a:gd name="connsiteY6" fmla="*/ 762000 h 1552575"/>
                                          <a:gd name="connsiteX7" fmla="*/ 1466850 w 1666875"/>
                                          <a:gd name="connsiteY7" fmla="*/ 733425 h 1552575"/>
                                          <a:gd name="connsiteX8" fmla="*/ 1504950 w 1666875"/>
                                          <a:gd name="connsiteY8" fmla="*/ 666750 h 1552575"/>
                                          <a:gd name="connsiteX9" fmla="*/ 1600200 w 1666875"/>
                                          <a:gd name="connsiteY9" fmla="*/ 657225 h 1552575"/>
                                          <a:gd name="connsiteX10" fmla="*/ 1609725 w 1666875"/>
                                          <a:gd name="connsiteY10" fmla="*/ 628650 h 1552575"/>
                                          <a:gd name="connsiteX11" fmla="*/ 1552575 w 1666875"/>
                                          <a:gd name="connsiteY11" fmla="*/ 571500 h 1552575"/>
                                          <a:gd name="connsiteX12" fmla="*/ 1543050 w 1666875"/>
                                          <a:gd name="connsiteY12" fmla="*/ 542925 h 1552575"/>
                                          <a:gd name="connsiteX13" fmla="*/ 1590675 w 1666875"/>
                                          <a:gd name="connsiteY13" fmla="*/ 495300 h 1552575"/>
                                          <a:gd name="connsiteX14" fmla="*/ 1600200 w 1666875"/>
                                          <a:gd name="connsiteY14" fmla="*/ 466725 h 1552575"/>
                                          <a:gd name="connsiteX15" fmla="*/ 1628775 w 1666875"/>
                                          <a:gd name="connsiteY15" fmla="*/ 438150 h 1552575"/>
                                          <a:gd name="connsiteX16" fmla="*/ 1666875 w 1666875"/>
                                          <a:gd name="connsiteY16" fmla="*/ 333375 h 1552575"/>
                                          <a:gd name="connsiteX17" fmla="*/ 1619250 w 1666875"/>
                                          <a:gd name="connsiteY17" fmla="*/ 266700 h 1552575"/>
                                          <a:gd name="connsiteX18" fmla="*/ 1514475 w 1666875"/>
                                          <a:gd name="connsiteY18" fmla="*/ 257175 h 1552575"/>
                                          <a:gd name="connsiteX19" fmla="*/ 1485900 w 1666875"/>
                                          <a:gd name="connsiteY19" fmla="*/ 238125 h 1552575"/>
                                          <a:gd name="connsiteX20" fmla="*/ 1457325 w 1666875"/>
                                          <a:gd name="connsiteY20" fmla="*/ 152400 h 1552575"/>
                                          <a:gd name="connsiteX21" fmla="*/ 1438275 w 1666875"/>
                                          <a:gd name="connsiteY21" fmla="*/ 95250 h 1552575"/>
                                          <a:gd name="connsiteX22" fmla="*/ 1381125 w 1666875"/>
                                          <a:gd name="connsiteY22" fmla="*/ 76200 h 1552575"/>
                                          <a:gd name="connsiteX23" fmla="*/ 1238250 w 1666875"/>
                                          <a:gd name="connsiteY23" fmla="*/ 85725 h 1552575"/>
                                          <a:gd name="connsiteX24" fmla="*/ 1228725 w 1666875"/>
                                          <a:gd name="connsiteY24" fmla="*/ 171450 h 1552575"/>
                                          <a:gd name="connsiteX25" fmla="*/ 1190625 w 1666875"/>
                                          <a:gd name="connsiteY25" fmla="*/ 180975 h 1552575"/>
                                          <a:gd name="connsiteX26" fmla="*/ 1143000 w 1666875"/>
                                          <a:gd name="connsiteY26" fmla="*/ 171450 h 1552575"/>
                                          <a:gd name="connsiteX27" fmla="*/ 1104900 w 1666875"/>
                                          <a:gd name="connsiteY27" fmla="*/ 114300 h 1552575"/>
                                          <a:gd name="connsiteX28" fmla="*/ 1085850 w 1666875"/>
                                          <a:gd name="connsiteY28" fmla="*/ 85725 h 1552575"/>
                                          <a:gd name="connsiteX29" fmla="*/ 962025 w 1666875"/>
                                          <a:gd name="connsiteY29" fmla="*/ 47625 h 1552575"/>
                                          <a:gd name="connsiteX30" fmla="*/ 876300 w 1666875"/>
                                          <a:gd name="connsiteY30" fmla="*/ 0 h 1552575"/>
                                          <a:gd name="connsiteX31" fmla="*/ 847725 w 1666875"/>
                                          <a:gd name="connsiteY31" fmla="*/ 114300 h 1552575"/>
                                          <a:gd name="connsiteX32" fmla="*/ 809625 w 1666875"/>
                                          <a:gd name="connsiteY32" fmla="*/ 200025 h 1552575"/>
                                          <a:gd name="connsiteX33" fmla="*/ 781050 w 1666875"/>
                                          <a:gd name="connsiteY33" fmla="*/ 190500 h 1552575"/>
                                          <a:gd name="connsiteX34" fmla="*/ 762000 w 1666875"/>
                                          <a:gd name="connsiteY34" fmla="*/ 228600 h 1552575"/>
                                          <a:gd name="connsiteX35" fmla="*/ 790575 w 1666875"/>
                                          <a:gd name="connsiteY35" fmla="*/ 238125 h 1552575"/>
                                          <a:gd name="connsiteX36" fmla="*/ 819150 w 1666875"/>
                                          <a:gd name="connsiteY36" fmla="*/ 257175 h 1552575"/>
                                          <a:gd name="connsiteX37" fmla="*/ 819150 w 1666875"/>
                                          <a:gd name="connsiteY37" fmla="*/ 323850 h 1552575"/>
                                          <a:gd name="connsiteX38" fmla="*/ 800100 w 1666875"/>
                                          <a:gd name="connsiteY38" fmla="*/ 381000 h 1552575"/>
                                          <a:gd name="connsiteX39" fmla="*/ 809625 w 1666875"/>
                                          <a:gd name="connsiteY39" fmla="*/ 409575 h 1552575"/>
                                          <a:gd name="connsiteX40" fmla="*/ 838200 w 1666875"/>
                                          <a:gd name="connsiteY40" fmla="*/ 419100 h 1552575"/>
                                          <a:gd name="connsiteX41" fmla="*/ 847725 w 1666875"/>
                                          <a:gd name="connsiteY41" fmla="*/ 466725 h 1552575"/>
                                          <a:gd name="connsiteX42" fmla="*/ 828675 w 1666875"/>
                                          <a:gd name="connsiteY42" fmla="*/ 523875 h 1552575"/>
                                          <a:gd name="connsiteX43" fmla="*/ 819150 w 1666875"/>
                                          <a:gd name="connsiteY43" fmla="*/ 552450 h 1552575"/>
                                          <a:gd name="connsiteX44" fmla="*/ 685800 w 1666875"/>
                                          <a:gd name="connsiteY44" fmla="*/ 542925 h 1552575"/>
                                          <a:gd name="connsiteX45" fmla="*/ 657225 w 1666875"/>
                                          <a:gd name="connsiteY45" fmla="*/ 514350 h 1552575"/>
                                          <a:gd name="connsiteX46" fmla="*/ 600075 w 1666875"/>
                                          <a:gd name="connsiteY46" fmla="*/ 533400 h 1552575"/>
                                          <a:gd name="connsiteX47" fmla="*/ 533400 w 1666875"/>
                                          <a:gd name="connsiteY47" fmla="*/ 495300 h 1552575"/>
                                          <a:gd name="connsiteX48" fmla="*/ 409575 w 1666875"/>
                                          <a:gd name="connsiteY48" fmla="*/ 485775 h 1552575"/>
                                          <a:gd name="connsiteX49" fmla="*/ 381000 w 1666875"/>
                                          <a:gd name="connsiteY49" fmla="*/ 457200 h 1552575"/>
                                          <a:gd name="connsiteX50" fmla="*/ 361950 w 1666875"/>
                                          <a:gd name="connsiteY50" fmla="*/ 581025 h 1552575"/>
                                          <a:gd name="connsiteX51" fmla="*/ 342900 w 1666875"/>
                                          <a:gd name="connsiteY51" fmla="*/ 609600 h 1552575"/>
                                          <a:gd name="connsiteX52" fmla="*/ 285750 w 1666875"/>
                                          <a:gd name="connsiteY52" fmla="*/ 628650 h 1552575"/>
                                          <a:gd name="connsiteX53" fmla="*/ 266700 w 1666875"/>
                                          <a:gd name="connsiteY53" fmla="*/ 657225 h 1552575"/>
                                          <a:gd name="connsiteX54" fmla="*/ 209550 w 1666875"/>
                                          <a:gd name="connsiteY54" fmla="*/ 676275 h 1552575"/>
                                          <a:gd name="connsiteX55" fmla="*/ 161925 w 1666875"/>
                                          <a:gd name="connsiteY55" fmla="*/ 666750 h 1552575"/>
                                          <a:gd name="connsiteX56" fmla="*/ 142875 w 1666875"/>
                                          <a:gd name="connsiteY56" fmla="*/ 638175 h 1552575"/>
                                          <a:gd name="connsiteX57" fmla="*/ 66675 w 1666875"/>
                                          <a:gd name="connsiteY57" fmla="*/ 647700 h 1552575"/>
                                          <a:gd name="connsiteX58" fmla="*/ 57150 w 1666875"/>
                                          <a:gd name="connsiteY58" fmla="*/ 685800 h 1552575"/>
                                          <a:gd name="connsiteX59" fmla="*/ 47625 w 1666875"/>
                                          <a:gd name="connsiteY59" fmla="*/ 714375 h 1552575"/>
                                          <a:gd name="connsiteX60" fmla="*/ 19050 w 1666875"/>
                                          <a:gd name="connsiteY60" fmla="*/ 800100 h 1552575"/>
                                          <a:gd name="connsiteX61" fmla="*/ 28575 w 1666875"/>
                                          <a:gd name="connsiteY61" fmla="*/ 885825 h 1552575"/>
                                          <a:gd name="connsiteX62" fmla="*/ 38100 w 1666875"/>
                                          <a:gd name="connsiteY62" fmla="*/ 914400 h 1552575"/>
                                          <a:gd name="connsiteX63" fmla="*/ 0 w 1666875"/>
                                          <a:gd name="connsiteY63" fmla="*/ 971550 h 1552575"/>
                                          <a:gd name="connsiteX64" fmla="*/ 19050 w 1666875"/>
                                          <a:gd name="connsiteY64" fmla="*/ 1000125 h 1552575"/>
                                          <a:gd name="connsiteX65" fmla="*/ 47625 w 1666875"/>
                                          <a:gd name="connsiteY65" fmla="*/ 1057275 h 1552575"/>
                                          <a:gd name="connsiteX66" fmla="*/ 76200 w 1666875"/>
                                          <a:gd name="connsiteY66" fmla="*/ 1066800 h 1552575"/>
                                          <a:gd name="connsiteX67" fmla="*/ 95250 w 1666875"/>
                                          <a:gd name="connsiteY67" fmla="*/ 1152525 h 1552575"/>
                                          <a:gd name="connsiteX68" fmla="*/ 104775 w 1666875"/>
                                          <a:gd name="connsiteY68" fmla="*/ 1190625 h 1552575"/>
                                          <a:gd name="connsiteX69" fmla="*/ 133350 w 1666875"/>
                                          <a:gd name="connsiteY69" fmla="*/ 1200150 h 1552575"/>
                                          <a:gd name="connsiteX70" fmla="*/ 161925 w 1666875"/>
                                          <a:gd name="connsiteY70" fmla="*/ 1219200 h 1552575"/>
                                          <a:gd name="connsiteX71" fmla="*/ 180975 w 1666875"/>
                                          <a:gd name="connsiteY71" fmla="*/ 1247775 h 1552575"/>
                                          <a:gd name="connsiteX72" fmla="*/ 247650 w 1666875"/>
                                          <a:gd name="connsiteY72" fmla="*/ 1276350 h 1552575"/>
                                          <a:gd name="connsiteX73" fmla="*/ 304800 w 1666875"/>
                                          <a:gd name="connsiteY73" fmla="*/ 1323975 h 1552575"/>
                                          <a:gd name="connsiteX74" fmla="*/ 276225 w 1666875"/>
                                          <a:gd name="connsiteY74" fmla="*/ 1343025 h 1552575"/>
                                          <a:gd name="connsiteX75" fmla="*/ 295275 w 1666875"/>
                                          <a:gd name="connsiteY75" fmla="*/ 1400175 h 1552575"/>
                                          <a:gd name="connsiteX76" fmla="*/ 333375 w 1666875"/>
                                          <a:gd name="connsiteY76" fmla="*/ 1476375 h 1552575"/>
                                          <a:gd name="connsiteX77" fmla="*/ 361950 w 1666875"/>
                                          <a:gd name="connsiteY77" fmla="*/ 1495425 h 1552575"/>
                                          <a:gd name="connsiteX78" fmla="*/ 390525 w 1666875"/>
                                          <a:gd name="connsiteY78" fmla="*/ 1504950 h 1552575"/>
                                          <a:gd name="connsiteX79" fmla="*/ 466725 w 1666875"/>
                                          <a:gd name="connsiteY79" fmla="*/ 1524000 h 1552575"/>
                                          <a:gd name="connsiteX80" fmla="*/ 523875 w 1666875"/>
                                          <a:gd name="connsiteY80" fmla="*/ 1552575 h 1552575"/>
                                          <a:gd name="connsiteX81" fmla="*/ 552450 w 1666875"/>
                                          <a:gd name="connsiteY81" fmla="*/ 1543050 h 1552575"/>
                                          <a:gd name="connsiteX82" fmla="*/ 590550 w 1666875"/>
                                          <a:gd name="connsiteY82" fmla="*/ 1514475 h 1552575"/>
                                          <a:gd name="connsiteX83" fmla="*/ 666750 w 1666875"/>
                                          <a:gd name="connsiteY83" fmla="*/ 1476375 h 1552575"/>
                                          <a:gd name="connsiteX84" fmla="*/ 742950 w 1666875"/>
                                          <a:gd name="connsiteY84" fmla="*/ 1485900 h 1552575"/>
                                          <a:gd name="connsiteX85" fmla="*/ 733425 w 1666875"/>
                                          <a:gd name="connsiteY85" fmla="*/ 1457325 h 1552575"/>
                                          <a:gd name="connsiteX86" fmla="*/ 752475 w 1666875"/>
                                          <a:gd name="connsiteY86" fmla="*/ 1428750 h 1552575"/>
                                          <a:gd name="connsiteX87" fmla="*/ 762000 w 1666875"/>
                                          <a:gd name="connsiteY87" fmla="*/ 1390650 h 1552575"/>
                                          <a:gd name="connsiteX88" fmla="*/ 752475 w 1666875"/>
                                          <a:gd name="connsiteY88" fmla="*/ 1352550 h 1552575"/>
                                          <a:gd name="connsiteX89" fmla="*/ 790575 w 1666875"/>
                                          <a:gd name="connsiteY89" fmla="*/ 1343025 h 1552575"/>
                                          <a:gd name="connsiteX90" fmla="*/ 847725 w 1666875"/>
                                          <a:gd name="connsiteY90" fmla="*/ 1352550 h 1552575"/>
                                          <a:gd name="connsiteX91" fmla="*/ 914400 w 1666875"/>
                                          <a:gd name="connsiteY91" fmla="*/ 1381125 h 1552575"/>
                                          <a:gd name="connsiteX92" fmla="*/ 942975 w 1666875"/>
                                          <a:gd name="connsiteY92" fmla="*/ 1390650 h 1552575"/>
                                          <a:gd name="connsiteX93" fmla="*/ 1019175 w 1666875"/>
                                          <a:gd name="connsiteY93" fmla="*/ 1371600 h 1552575"/>
                                          <a:gd name="connsiteX94" fmla="*/ 1038225 w 1666875"/>
                                          <a:gd name="connsiteY94" fmla="*/ 1314450 h 1552575"/>
                                          <a:gd name="connsiteX95" fmla="*/ 1047750 w 1666875"/>
                                          <a:gd name="connsiteY95" fmla="*/ 1285875 h 1552575"/>
                                          <a:gd name="connsiteX96" fmla="*/ 1057275 w 1666875"/>
                                          <a:gd name="connsiteY96" fmla="*/ 1238250 h 1552575"/>
                                          <a:gd name="connsiteX97" fmla="*/ 1219200 w 1666875"/>
                                          <a:gd name="connsiteY97" fmla="*/ 1181100 h 1552575"/>
                                          <a:gd name="connsiteX98" fmla="*/ 1276350 w 1666875"/>
                                          <a:gd name="connsiteY98" fmla="*/ 1162050 h 1552575"/>
                                          <a:gd name="connsiteX99" fmla="*/ 1295400 w 1666875"/>
                                          <a:gd name="connsiteY99" fmla="*/ 1133475 h 1552575"/>
                                          <a:gd name="connsiteX100" fmla="*/ 1304925 w 1666875"/>
                                          <a:gd name="connsiteY100" fmla="*/ 1162050 h 1552575"/>
                                          <a:gd name="connsiteX101" fmla="*/ 1314450 w 1666875"/>
                                          <a:gd name="connsiteY101" fmla="*/ 1114425 h 1552575"/>
                                          <a:gd name="connsiteX102" fmla="*/ 1333500 w 1666875"/>
                                          <a:gd name="connsiteY102" fmla="*/ 1085850 h 1552575"/>
                                          <a:gd name="connsiteX103" fmla="*/ 1390650 w 1666875"/>
                                          <a:gd name="connsiteY103" fmla="*/ 1028700 h 1552575"/>
                                          <a:gd name="connsiteX104" fmla="*/ 1400175 w 1666875"/>
                                          <a:gd name="connsiteY104" fmla="*/ 1000125 h 1552575"/>
                                          <a:gd name="connsiteX105" fmla="*/ 1371600 w 1666875"/>
                                          <a:gd name="connsiteY105" fmla="*/ 990600 h 1552575"/>
                                          <a:gd name="connsiteX106" fmla="*/ 1343025 w 1666875"/>
                                          <a:gd name="connsiteY106" fmla="*/ 971550 h 1552575"/>
                                          <a:gd name="connsiteX107" fmla="*/ 1352550 w 1666875"/>
                                          <a:gd name="connsiteY107" fmla="*/ 904875 h 1552575"/>
                                          <a:gd name="connsiteX108" fmla="*/ 1371600 w 1666875"/>
                                          <a:gd name="connsiteY108" fmla="*/ 847725 h 15525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666875" h="1552575">
                                            <a:moveTo>
                                              <a:pt x="1247775" y="876300"/>
                                            </a:moveTo>
                                            <a:cubicBezTo>
                                              <a:pt x="1282700" y="879475"/>
                                              <a:pt x="1319032" y="875512"/>
                                              <a:pt x="1352550" y="885825"/>
                                            </a:cubicBezTo>
                                            <a:cubicBezTo>
                                              <a:pt x="1363491" y="889192"/>
                                              <a:pt x="1360152" y="914400"/>
                                              <a:pt x="1371600" y="914400"/>
                                            </a:cubicBezTo>
                                            <a:cubicBezTo>
                                              <a:pt x="1381640" y="914400"/>
                                              <a:pt x="1377950" y="895350"/>
                                              <a:pt x="1381125" y="885825"/>
                                            </a:cubicBezTo>
                                            <a:cubicBezTo>
                                              <a:pt x="1384300" y="854075"/>
                                              <a:pt x="1379746" y="820562"/>
                                              <a:pt x="1390650" y="790575"/>
                                            </a:cubicBezTo>
                                            <a:cubicBezTo>
                                              <a:pt x="1394081" y="781139"/>
                                              <a:pt x="1410245" y="785540"/>
                                              <a:pt x="1419225" y="781050"/>
                                            </a:cubicBezTo>
                                            <a:cubicBezTo>
                                              <a:pt x="1429464" y="775930"/>
                                              <a:pt x="1438275" y="768350"/>
                                              <a:pt x="1447800" y="762000"/>
                                            </a:cubicBezTo>
                                            <a:cubicBezTo>
                                              <a:pt x="1454150" y="752475"/>
                                              <a:pt x="1462341" y="743947"/>
                                              <a:pt x="1466850" y="733425"/>
                                            </a:cubicBezTo>
                                            <a:cubicBezTo>
                                              <a:pt x="1477602" y="708338"/>
                                              <a:pt x="1469218" y="677744"/>
                                              <a:pt x="1504950" y="666750"/>
                                            </a:cubicBezTo>
                                            <a:cubicBezTo>
                                              <a:pt x="1535447" y="657366"/>
                                              <a:pt x="1568450" y="660400"/>
                                              <a:pt x="1600200" y="657225"/>
                                            </a:cubicBezTo>
                                            <a:cubicBezTo>
                                              <a:pt x="1603375" y="647700"/>
                                              <a:pt x="1614601" y="637427"/>
                                              <a:pt x="1609725" y="628650"/>
                                            </a:cubicBezTo>
                                            <a:cubicBezTo>
                                              <a:pt x="1596641" y="605100"/>
                                              <a:pt x="1552575" y="571500"/>
                                              <a:pt x="1552575" y="571500"/>
                                            </a:cubicBezTo>
                                            <a:cubicBezTo>
                                              <a:pt x="1549400" y="561975"/>
                                              <a:pt x="1541399" y="552829"/>
                                              <a:pt x="1543050" y="542925"/>
                                            </a:cubicBezTo>
                                            <a:cubicBezTo>
                                              <a:pt x="1547019" y="519112"/>
                                              <a:pt x="1574006" y="506412"/>
                                              <a:pt x="1590675" y="495300"/>
                                            </a:cubicBezTo>
                                            <a:cubicBezTo>
                                              <a:pt x="1593850" y="485775"/>
                                              <a:pt x="1594631" y="475079"/>
                                              <a:pt x="1600200" y="466725"/>
                                            </a:cubicBezTo>
                                            <a:cubicBezTo>
                                              <a:pt x="1607672" y="455517"/>
                                              <a:pt x="1624172" y="450809"/>
                                              <a:pt x="1628775" y="438150"/>
                                            </a:cubicBezTo>
                                            <a:cubicBezTo>
                                              <a:pt x="1673558" y="314996"/>
                                              <a:pt x="1602525" y="397725"/>
                                              <a:pt x="1666875" y="333375"/>
                                            </a:cubicBezTo>
                                            <a:cubicBezTo>
                                              <a:pt x="1651000" y="285750"/>
                                              <a:pt x="1663700" y="273050"/>
                                              <a:pt x="1619250" y="266700"/>
                                            </a:cubicBezTo>
                                            <a:cubicBezTo>
                                              <a:pt x="1584533" y="261740"/>
                                              <a:pt x="1549400" y="260350"/>
                                              <a:pt x="1514475" y="257175"/>
                                            </a:cubicBezTo>
                                            <a:cubicBezTo>
                                              <a:pt x="1504950" y="250825"/>
                                              <a:pt x="1493995" y="246220"/>
                                              <a:pt x="1485900" y="238125"/>
                                            </a:cubicBezTo>
                                            <a:cubicBezTo>
                                              <a:pt x="1456590" y="208815"/>
                                              <a:pt x="1467968" y="194972"/>
                                              <a:pt x="1457325" y="152400"/>
                                            </a:cubicBezTo>
                                            <a:cubicBezTo>
                                              <a:pt x="1452455" y="132919"/>
                                              <a:pt x="1457325" y="101600"/>
                                              <a:pt x="1438275" y="95250"/>
                                            </a:cubicBezTo>
                                            <a:lnTo>
                                              <a:pt x="1381125" y="76200"/>
                                            </a:lnTo>
                                            <a:cubicBezTo>
                                              <a:pt x="1333500" y="79375"/>
                                              <a:pt x="1278726" y="60428"/>
                                              <a:pt x="1238250" y="85725"/>
                                            </a:cubicBezTo>
                                            <a:cubicBezTo>
                                              <a:pt x="1213869" y="100963"/>
                                              <a:pt x="1241583" y="145734"/>
                                              <a:pt x="1228725" y="171450"/>
                                            </a:cubicBezTo>
                                            <a:cubicBezTo>
                                              <a:pt x="1222871" y="183159"/>
                                              <a:pt x="1203325" y="177800"/>
                                              <a:pt x="1190625" y="180975"/>
                                            </a:cubicBezTo>
                                            <a:cubicBezTo>
                                              <a:pt x="1174750" y="177800"/>
                                              <a:pt x="1157480" y="178690"/>
                                              <a:pt x="1143000" y="171450"/>
                                            </a:cubicBezTo>
                                            <a:cubicBezTo>
                                              <a:pt x="1106888" y="153394"/>
                                              <a:pt x="1119011" y="142522"/>
                                              <a:pt x="1104900" y="114300"/>
                                            </a:cubicBezTo>
                                            <a:cubicBezTo>
                                              <a:pt x="1099780" y="104061"/>
                                              <a:pt x="1093945" y="93820"/>
                                              <a:pt x="1085850" y="85725"/>
                                            </a:cubicBezTo>
                                            <a:cubicBezTo>
                                              <a:pt x="1054014" y="53889"/>
                                              <a:pt x="1002416" y="53395"/>
                                              <a:pt x="962025" y="47625"/>
                                            </a:cubicBezTo>
                                            <a:cubicBezTo>
                                              <a:pt x="892096" y="24315"/>
                                              <a:pt x="919074" y="42774"/>
                                              <a:pt x="876300" y="0"/>
                                            </a:cubicBezTo>
                                            <a:cubicBezTo>
                                              <a:pt x="836392" y="59862"/>
                                              <a:pt x="870845" y="-1298"/>
                                              <a:pt x="847725" y="114300"/>
                                            </a:cubicBezTo>
                                            <a:cubicBezTo>
                                              <a:pt x="838009" y="162879"/>
                                              <a:pt x="832429" y="165820"/>
                                              <a:pt x="809625" y="200025"/>
                                            </a:cubicBezTo>
                                            <a:cubicBezTo>
                                              <a:pt x="800100" y="196850"/>
                                              <a:pt x="791090" y="190500"/>
                                              <a:pt x="781050" y="190500"/>
                                            </a:cubicBezTo>
                                            <a:cubicBezTo>
                                              <a:pt x="755650" y="190500"/>
                                              <a:pt x="736600" y="203200"/>
                                              <a:pt x="762000" y="228600"/>
                                            </a:cubicBezTo>
                                            <a:cubicBezTo>
                                              <a:pt x="769100" y="235700"/>
                                              <a:pt x="781595" y="233635"/>
                                              <a:pt x="790575" y="238125"/>
                                            </a:cubicBezTo>
                                            <a:cubicBezTo>
                                              <a:pt x="800814" y="243245"/>
                                              <a:pt x="809625" y="250825"/>
                                              <a:pt x="819150" y="257175"/>
                                            </a:cubicBezTo>
                                            <a:cubicBezTo>
                                              <a:pt x="849213" y="317302"/>
                                              <a:pt x="841325" y="273957"/>
                                              <a:pt x="819150" y="323850"/>
                                            </a:cubicBezTo>
                                            <a:cubicBezTo>
                                              <a:pt x="810995" y="342200"/>
                                              <a:pt x="800100" y="381000"/>
                                              <a:pt x="800100" y="381000"/>
                                            </a:cubicBezTo>
                                            <a:cubicBezTo>
                                              <a:pt x="803275" y="390525"/>
                                              <a:pt x="802525" y="402475"/>
                                              <a:pt x="809625" y="409575"/>
                                            </a:cubicBezTo>
                                            <a:cubicBezTo>
                                              <a:pt x="816725" y="416675"/>
                                              <a:pt x="832631" y="410746"/>
                                              <a:pt x="838200" y="419100"/>
                                            </a:cubicBezTo>
                                            <a:cubicBezTo>
                                              <a:pt x="847180" y="432570"/>
                                              <a:pt x="844550" y="450850"/>
                                              <a:pt x="847725" y="466725"/>
                                            </a:cubicBezTo>
                                            <a:lnTo>
                                              <a:pt x="828675" y="523875"/>
                                            </a:lnTo>
                                            <a:lnTo>
                                              <a:pt x="819150" y="552450"/>
                                            </a:lnTo>
                                            <a:cubicBezTo>
                                              <a:pt x="774700" y="549275"/>
                                              <a:pt x="729179" y="553132"/>
                                              <a:pt x="685800" y="542925"/>
                                            </a:cubicBezTo>
                                            <a:cubicBezTo>
                                              <a:pt x="672688" y="539840"/>
                                              <a:pt x="670613" y="515838"/>
                                              <a:pt x="657225" y="514350"/>
                                            </a:cubicBezTo>
                                            <a:cubicBezTo>
                                              <a:pt x="637267" y="512132"/>
                                              <a:pt x="600075" y="533400"/>
                                              <a:pt x="600075" y="533400"/>
                                            </a:cubicBezTo>
                                            <a:cubicBezTo>
                                              <a:pt x="585407" y="523622"/>
                                              <a:pt x="549835" y="498200"/>
                                              <a:pt x="533400" y="495300"/>
                                            </a:cubicBezTo>
                                            <a:cubicBezTo>
                                              <a:pt x="492633" y="488106"/>
                                              <a:pt x="450850" y="488950"/>
                                              <a:pt x="409575" y="485775"/>
                                            </a:cubicBezTo>
                                            <a:cubicBezTo>
                                              <a:pt x="387350" y="419100"/>
                                              <a:pt x="396875" y="409575"/>
                                              <a:pt x="381000" y="457200"/>
                                            </a:cubicBezTo>
                                            <a:cubicBezTo>
                                              <a:pt x="374650" y="498475"/>
                                              <a:pt x="372078" y="540511"/>
                                              <a:pt x="361950" y="581025"/>
                                            </a:cubicBezTo>
                                            <a:cubicBezTo>
                                              <a:pt x="359174" y="592131"/>
                                              <a:pt x="352608" y="603533"/>
                                              <a:pt x="342900" y="609600"/>
                                            </a:cubicBezTo>
                                            <a:cubicBezTo>
                                              <a:pt x="325872" y="620243"/>
                                              <a:pt x="285750" y="628650"/>
                                              <a:pt x="285750" y="628650"/>
                                            </a:cubicBezTo>
                                            <a:cubicBezTo>
                                              <a:pt x="279400" y="638175"/>
                                              <a:pt x="276408" y="651158"/>
                                              <a:pt x="266700" y="657225"/>
                                            </a:cubicBezTo>
                                            <a:cubicBezTo>
                                              <a:pt x="249672" y="667868"/>
                                              <a:pt x="209550" y="676275"/>
                                              <a:pt x="209550" y="676275"/>
                                            </a:cubicBezTo>
                                            <a:cubicBezTo>
                                              <a:pt x="193675" y="673100"/>
                                              <a:pt x="175981" y="674782"/>
                                              <a:pt x="161925" y="666750"/>
                                            </a:cubicBezTo>
                                            <a:cubicBezTo>
                                              <a:pt x="151986" y="661070"/>
                                              <a:pt x="154100" y="640420"/>
                                              <a:pt x="142875" y="638175"/>
                                            </a:cubicBezTo>
                                            <a:cubicBezTo>
                                              <a:pt x="117774" y="633155"/>
                                              <a:pt x="92075" y="644525"/>
                                              <a:pt x="66675" y="647700"/>
                                            </a:cubicBezTo>
                                            <a:cubicBezTo>
                                              <a:pt x="63500" y="660400"/>
                                              <a:pt x="60746" y="673213"/>
                                              <a:pt x="57150" y="685800"/>
                                            </a:cubicBezTo>
                                            <a:cubicBezTo>
                                              <a:pt x="54392" y="695454"/>
                                              <a:pt x="49803" y="704574"/>
                                              <a:pt x="47625" y="714375"/>
                                            </a:cubicBezTo>
                                            <a:cubicBezTo>
                                              <a:pt x="30515" y="791372"/>
                                              <a:pt x="52194" y="750385"/>
                                              <a:pt x="19050" y="800100"/>
                                            </a:cubicBezTo>
                                            <a:cubicBezTo>
                                              <a:pt x="22225" y="828675"/>
                                              <a:pt x="23848" y="857465"/>
                                              <a:pt x="28575" y="885825"/>
                                            </a:cubicBezTo>
                                            <a:cubicBezTo>
                                              <a:pt x="30226" y="895729"/>
                                              <a:pt x="41275" y="904875"/>
                                              <a:pt x="38100" y="914400"/>
                                            </a:cubicBezTo>
                                            <a:cubicBezTo>
                                              <a:pt x="30860" y="936120"/>
                                              <a:pt x="0" y="971550"/>
                                              <a:pt x="0" y="971550"/>
                                            </a:cubicBezTo>
                                            <a:cubicBezTo>
                                              <a:pt x="6350" y="981075"/>
                                              <a:pt x="13930" y="989886"/>
                                              <a:pt x="19050" y="1000125"/>
                                            </a:cubicBezTo>
                                            <a:cubicBezTo>
                                              <a:pt x="30554" y="1023132"/>
                                              <a:pt x="24877" y="1039077"/>
                                              <a:pt x="47625" y="1057275"/>
                                            </a:cubicBezTo>
                                            <a:cubicBezTo>
                                              <a:pt x="55465" y="1063547"/>
                                              <a:pt x="66675" y="1063625"/>
                                              <a:pt x="76200" y="1066800"/>
                                            </a:cubicBezTo>
                                            <a:cubicBezTo>
                                              <a:pt x="94737" y="1122412"/>
                                              <a:pt x="78487" y="1068708"/>
                                              <a:pt x="95250" y="1152525"/>
                                            </a:cubicBezTo>
                                            <a:cubicBezTo>
                                              <a:pt x="97817" y="1165362"/>
                                              <a:pt x="96597" y="1180403"/>
                                              <a:pt x="104775" y="1190625"/>
                                            </a:cubicBezTo>
                                            <a:cubicBezTo>
                                              <a:pt x="111047" y="1198465"/>
                                              <a:pt x="124370" y="1195660"/>
                                              <a:pt x="133350" y="1200150"/>
                                            </a:cubicBezTo>
                                            <a:cubicBezTo>
                                              <a:pt x="143589" y="1205270"/>
                                              <a:pt x="152400" y="1212850"/>
                                              <a:pt x="161925" y="1219200"/>
                                            </a:cubicBezTo>
                                            <a:cubicBezTo>
                                              <a:pt x="168275" y="1228725"/>
                                              <a:pt x="172880" y="1239680"/>
                                              <a:pt x="180975" y="1247775"/>
                                            </a:cubicBezTo>
                                            <a:cubicBezTo>
                                              <a:pt x="202901" y="1269701"/>
                                              <a:pt x="218503" y="1269063"/>
                                              <a:pt x="247650" y="1276350"/>
                                            </a:cubicBezTo>
                                            <a:cubicBezTo>
                                              <a:pt x="256270" y="1282097"/>
                                              <a:pt x="304800" y="1311752"/>
                                              <a:pt x="304800" y="1323975"/>
                                            </a:cubicBezTo>
                                            <a:cubicBezTo>
                                              <a:pt x="304800" y="1335423"/>
                                              <a:pt x="285750" y="1336675"/>
                                              <a:pt x="276225" y="1343025"/>
                                            </a:cubicBezTo>
                                            <a:cubicBezTo>
                                              <a:pt x="259117" y="1394350"/>
                                              <a:pt x="264060" y="1351123"/>
                                              <a:pt x="295275" y="1400175"/>
                                            </a:cubicBezTo>
                                            <a:cubicBezTo>
                                              <a:pt x="310521" y="1424133"/>
                                              <a:pt x="309746" y="1460623"/>
                                              <a:pt x="333375" y="1476375"/>
                                            </a:cubicBezTo>
                                            <a:cubicBezTo>
                                              <a:pt x="342900" y="1482725"/>
                                              <a:pt x="351711" y="1490305"/>
                                              <a:pt x="361950" y="1495425"/>
                                            </a:cubicBezTo>
                                            <a:cubicBezTo>
                                              <a:pt x="370930" y="1499915"/>
                                              <a:pt x="380839" y="1502308"/>
                                              <a:pt x="390525" y="1504950"/>
                                            </a:cubicBezTo>
                                            <a:cubicBezTo>
                                              <a:pt x="415784" y="1511839"/>
                                              <a:pt x="441325" y="1517650"/>
                                              <a:pt x="466725" y="1524000"/>
                                            </a:cubicBezTo>
                                            <a:cubicBezTo>
                                              <a:pt x="481172" y="1533632"/>
                                              <a:pt x="504157" y="1552575"/>
                                              <a:pt x="523875" y="1552575"/>
                                            </a:cubicBezTo>
                                            <a:cubicBezTo>
                                              <a:pt x="533915" y="1552575"/>
                                              <a:pt x="542925" y="1546225"/>
                                              <a:pt x="552450" y="1543050"/>
                                            </a:cubicBezTo>
                                            <a:cubicBezTo>
                                              <a:pt x="565150" y="1533525"/>
                                              <a:pt x="575810" y="1520371"/>
                                              <a:pt x="590550" y="1514475"/>
                                            </a:cubicBezTo>
                                            <a:cubicBezTo>
                                              <a:pt x="673510" y="1481291"/>
                                              <a:pt x="628382" y="1533927"/>
                                              <a:pt x="666750" y="1476375"/>
                                            </a:cubicBezTo>
                                            <a:cubicBezTo>
                                              <a:pt x="692150" y="1479550"/>
                                              <a:pt x="718337" y="1492932"/>
                                              <a:pt x="742950" y="1485900"/>
                                            </a:cubicBezTo>
                                            <a:cubicBezTo>
                                              <a:pt x="752604" y="1483142"/>
                                              <a:pt x="731774" y="1467229"/>
                                              <a:pt x="733425" y="1457325"/>
                                            </a:cubicBezTo>
                                            <a:cubicBezTo>
                                              <a:pt x="735307" y="1446033"/>
                                              <a:pt x="746125" y="1438275"/>
                                              <a:pt x="752475" y="1428750"/>
                                            </a:cubicBezTo>
                                            <a:cubicBezTo>
                                              <a:pt x="755650" y="1416050"/>
                                              <a:pt x="762000" y="1403741"/>
                                              <a:pt x="762000" y="1390650"/>
                                            </a:cubicBezTo>
                                            <a:cubicBezTo>
                                              <a:pt x="762000" y="1377559"/>
                                              <a:pt x="745740" y="1363775"/>
                                              <a:pt x="752475" y="1352550"/>
                                            </a:cubicBezTo>
                                            <a:cubicBezTo>
                                              <a:pt x="759210" y="1341325"/>
                                              <a:pt x="777875" y="1346200"/>
                                              <a:pt x="790575" y="1343025"/>
                                            </a:cubicBezTo>
                                            <a:cubicBezTo>
                                              <a:pt x="809625" y="1346200"/>
                                              <a:pt x="828872" y="1348360"/>
                                              <a:pt x="847725" y="1352550"/>
                                            </a:cubicBezTo>
                                            <a:cubicBezTo>
                                              <a:pt x="878654" y="1359423"/>
                                              <a:pt x="883040" y="1367685"/>
                                              <a:pt x="914400" y="1381125"/>
                                            </a:cubicBezTo>
                                            <a:cubicBezTo>
                                              <a:pt x="923628" y="1385080"/>
                                              <a:pt x="933450" y="1387475"/>
                                              <a:pt x="942975" y="1390650"/>
                                            </a:cubicBezTo>
                                            <a:cubicBezTo>
                                              <a:pt x="968375" y="1384300"/>
                                              <a:pt x="998731" y="1387956"/>
                                              <a:pt x="1019175" y="1371600"/>
                                            </a:cubicBezTo>
                                            <a:cubicBezTo>
                                              <a:pt x="1034855" y="1359056"/>
                                              <a:pt x="1031875" y="1333500"/>
                                              <a:pt x="1038225" y="1314450"/>
                                            </a:cubicBezTo>
                                            <a:cubicBezTo>
                                              <a:pt x="1041400" y="1304925"/>
                                              <a:pt x="1045781" y="1295720"/>
                                              <a:pt x="1047750" y="1285875"/>
                                            </a:cubicBezTo>
                                            <a:cubicBezTo>
                                              <a:pt x="1050925" y="1270000"/>
                                              <a:pt x="1047336" y="1251029"/>
                                              <a:pt x="1057275" y="1238250"/>
                                            </a:cubicBezTo>
                                            <a:cubicBezTo>
                                              <a:pt x="1097515" y="1186513"/>
                                              <a:pt x="1163889" y="1194928"/>
                                              <a:pt x="1219200" y="1181100"/>
                                            </a:cubicBezTo>
                                            <a:cubicBezTo>
                                              <a:pt x="1238681" y="1176230"/>
                                              <a:pt x="1276350" y="1162050"/>
                                              <a:pt x="1276350" y="1162050"/>
                                            </a:cubicBezTo>
                                            <a:cubicBezTo>
                                              <a:pt x="1282700" y="1152525"/>
                                              <a:pt x="1283952" y="1133475"/>
                                              <a:pt x="1295400" y="1133475"/>
                                            </a:cubicBezTo>
                                            <a:cubicBezTo>
                                              <a:pt x="1305440" y="1133475"/>
                                              <a:pt x="1297825" y="1169150"/>
                                              <a:pt x="1304925" y="1162050"/>
                                            </a:cubicBezTo>
                                            <a:cubicBezTo>
                                              <a:pt x="1316373" y="1150602"/>
                                              <a:pt x="1308766" y="1129584"/>
                                              <a:pt x="1314450" y="1114425"/>
                                            </a:cubicBezTo>
                                            <a:cubicBezTo>
                                              <a:pt x="1318470" y="1103706"/>
                                              <a:pt x="1326846" y="1095165"/>
                                              <a:pt x="1333500" y="1085850"/>
                                            </a:cubicBezTo>
                                            <a:cubicBezTo>
                                              <a:pt x="1365721" y="1040740"/>
                                              <a:pt x="1351190" y="1055007"/>
                                              <a:pt x="1390650" y="1028700"/>
                                            </a:cubicBezTo>
                                            <a:cubicBezTo>
                                              <a:pt x="1393825" y="1019175"/>
                                              <a:pt x="1404665" y="1009105"/>
                                              <a:pt x="1400175" y="1000125"/>
                                            </a:cubicBezTo>
                                            <a:cubicBezTo>
                                              <a:pt x="1395685" y="991145"/>
                                              <a:pt x="1380580" y="995090"/>
                                              <a:pt x="1371600" y="990600"/>
                                            </a:cubicBezTo>
                                            <a:cubicBezTo>
                                              <a:pt x="1361361" y="985480"/>
                                              <a:pt x="1352550" y="977900"/>
                                              <a:pt x="1343025" y="971550"/>
                                            </a:cubicBezTo>
                                            <a:cubicBezTo>
                                              <a:pt x="1346200" y="949325"/>
                                              <a:pt x="1347502" y="926751"/>
                                              <a:pt x="1352550" y="904875"/>
                                            </a:cubicBezTo>
                                            <a:cubicBezTo>
                                              <a:pt x="1357065" y="885309"/>
                                              <a:pt x="1371600" y="847725"/>
                                              <a:pt x="1371600" y="847725"/>
                                            </a:cubicBezTo>
                                          </a:path>
                                        </a:pathLst>
                                      </a:custGeom>
                                      <a:solidFill>
                                        <a:schemeClr val="accent3">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a:solidFill>
                                              <a:sysClr val="windowText" lastClr="000000"/>
                                            </a:solidFill>
                                          </a:rPr>
                                          <a:t>Santiago</a:t>
                                        </a:r>
                                      </a:p>
                                      <a:p>
                                        <a:pPr algn="ctr"/>
                                        <a:r>
                                          <a:rPr lang="es-ES" sz="1100" b="1">
                                            <a:solidFill>
                                              <a:sysClr val="windowText" lastClr="000000"/>
                                            </a:solidFill>
                                          </a:rPr>
                                          <a:t>321,515</a:t>
                                        </a:r>
                                      </a:p>
                                      <a:p>
                                        <a:pPr algn="ctr"/>
                                        <a:r>
                                          <a:rPr lang="es-ES" sz="1100" b="1">
                                            <a:solidFill>
                                              <a:sysClr val="windowText" lastClr="000000"/>
                                            </a:solidFill>
                                          </a:rPr>
                                          <a:t>11.1%</a:t>
                                        </a:r>
                                      </a:p>
                                    </xdr:txBody>
                                  </xdr:sp>
                                </xdr:grpSp>
                                <xdr:sp macro="" textlink="">
                                  <xdr:nvSpPr>
                                    <xdr:cNvPr id="42" name="Forma libre 41"/>
                                    <xdr:cNvSpPr/>
                                  </xdr:nvSpPr>
                                  <xdr:spPr>
                                    <a:xfrm>
                                      <a:off x="485775" y="4047813"/>
                                      <a:ext cx="1219200" cy="1695762"/>
                                    </a:xfrm>
                                    <a:custGeom>
                                      <a:avLst/>
                                      <a:gdLst>
                                        <a:gd name="connsiteX0" fmla="*/ 171450 w 1219200"/>
                                        <a:gd name="connsiteY0" fmla="*/ 312 h 1695762"/>
                                        <a:gd name="connsiteX1" fmla="*/ 142875 w 1219200"/>
                                        <a:gd name="connsiteY1" fmla="*/ 47937 h 1695762"/>
                                        <a:gd name="connsiteX2" fmla="*/ 123825 w 1219200"/>
                                        <a:gd name="connsiteY2" fmla="*/ 114612 h 1695762"/>
                                        <a:gd name="connsiteX3" fmla="*/ 114300 w 1219200"/>
                                        <a:gd name="connsiteY3" fmla="*/ 143187 h 1695762"/>
                                        <a:gd name="connsiteX4" fmla="*/ 57150 w 1219200"/>
                                        <a:gd name="connsiteY4" fmla="*/ 162237 h 1695762"/>
                                        <a:gd name="connsiteX5" fmla="*/ 0 w 1219200"/>
                                        <a:gd name="connsiteY5" fmla="*/ 200337 h 1695762"/>
                                        <a:gd name="connsiteX6" fmla="*/ 9525 w 1219200"/>
                                        <a:gd name="connsiteY6" fmla="*/ 238437 h 1695762"/>
                                        <a:gd name="connsiteX7" fmla="*/ 47625 w 1219200"/>
                                        <a:gd name="connsiteY7" fmla="*/ 295587 h 1695762"/>
                                        <a:gd name="connsiteX8" fmla="*/ 57150 w 1219200"/>
                                        <a:gd name="connsiteY8" fmla="*/ 324162 h 1695762"/>
                                        <a:gd name="connsiteX9" fmla="*/ 76200 w 1219200"/>
                                        <a:gd name="connsiteY9" fmla="*/ 390837 h 1695762"/>
                                        <a:gd name="connsiteX10" fmla="*/ 95250 w 1219200"/>
                                        <a:gd name="connsiteY10" fmla="*/ 419412 h 1695762"/>
                                        <a:gd name="connsiteX11" fmla="*/ 114300 w 1219200"/>
                                        <a:gd name="connsiteY11" fmla="*/ 476562 h 1695762"/>
                                        <a:gd name="connsiteX12" fmla="*/ 85725 w 1219200"/>
                                        <a:gd name="connsiteY12" fmla="*/ 581337 h 1695762"/>
                                        <a:gd name="connsiteX13" fmla="*/ 57150 w 1219200"/>
                                        <a:gd name="connsiteY13" fmla="*/ 600387 h 1695762"/>
                                        <a:gd name="connsiteX14" fmla="*/ 66675 w 1219200"/>
                                        <a:gd name="connsiteY14" fmla="*/ 628962 h 1695762"/>
                                        <a:gd name="connsiteX15" fmla="*/ 104775 w 1219200"/>
                                        <a:gd name="connsiteY15" fmla="*/ 638487 h 1695762"/>
                                        <a:gd name="connsiteX16" fmla="*/ 133350 w 1219200"/>
                                        <a:gd name="connsiteY16" fmla="*/ 648012 h 1695762"/>
                                        <a:gd name="connsiteX17" fmla="*/ 219075 w 1219200"/>
                                        <a:gd name="connsiteY17" fmla="*/ 714687 h 1695762"/>
                                        <a:gd name="connsiteX18" fmla="*/ 257175 w 1219200"/>
                                        <a:gd name="connsiteY18" fmla="*/ 781362 h 1695762"/>
                                        <a:gd name="connsiteX19" fmla="*/ 266700 w 1219200"/>
                                        <a:gd name="connsiteY19" fmla="*/ 809937 h 1695762"/>
                                        <a:gd name="connsiteX20" fmla="*/ 304800 w 1219200"/>
                                        <a:gd name="connsiteY20" fmla="*/ 867087 h 1695762"/>
                                        <a:gd name="connsiteX21" fmla="*/ 295275 w 1219200"/>
                                        <a:gd name="connsiteY21" fmla="*/ 914712 h 1695762"/>
                                        <a:gd name="connsiteX22" fmla="*/ 266700 w 1219200"/>
                                        <a:gd name="connsiteY22" fmla="*/ 924237 h 1695762"/>
                                        <a:gd name="connsiteX23" fmla="*/ 276225 w 1219200"/>
                                        <a:gd name="connsiteY23" fmla="*/ 952812 h 1695762"/>
                                        <a:gd name="connsiteX24" fmla="*/ 333375 w 1219200"/>
                                        <a:gd name="connsiteY24" fmla="*/ 1000437 h 1695762"/>
                                        <a:gd name="connsiteX25" fmla="*/ 361950 w 1219200"/>
                                        <a:gd name="connsiteY25" fmla="*/ 1029012 h 1695762"/>
                                        <a:gd name="connsiteX26" fmla="*/ 371475 w 1219200"/>
                                        <a:gd name="connsiteY26" fmla="*/ 1067112 h 1695762"/>
                                        <a:gd name="connsiteX27" fmla="*/ 381000 w 1219200"/>
                                        <a:gd name="connsiteY27" fmla="*/ 1095687 h 1695762"/>
                                        <a:gd name="connsiteX28" fmla="*/ 361950 w 1219200"/>
                                        <a:gd name="connsiteY28" fmla="*/ 1171887 h 1695762"/>
                                        <a:gd name="connsiteX29" fmla="*/ 304800 w 1219200"/>
                                        <a:gd name="connsiteY29" fmla="*/ 1162362 h 1695762"/>
                                        <a:gd name="connsiteX30" fmla="*/ 247650 w 1219200"/>
                                        <a:gd name="connsiteY30" fmla="*/ 1143312 h 1695762"/>
                                        <a:gd name="connsiteX31" fmla="*/ 257175 w 1219200"/>
                                        <a:gd name="connsiteY31" fmla="*/ 1209987 h 1695762"/>
                                        <a:gd name="connsiteX32" fmla="*/ 257175 w 1219200"/>
                                        <a:gd name="connsiteY32" fmla="*/ 1286187 h 1695762"/>
                                        <a:gd name="connsiteX33" fmla="*/ 228600 w 1219200"/>
                                        <a:gd name="connsiteY33" fmla="*/ 1295712 h 1695762"/>
                                        <a:gd name="connsiteX34" fmla="*/ 266700 w 1219200"/>
                                        <a:gd name="connsiteY34" fmla="*/ 1305237 h 1695762"/>
                                        <a:gd name="connsiteX35" fmla="*/ 295275 w 1219200"/>
                                        <a:gd name="connsiteY35" fmla="*/ 1314762 h 1695762"/>
                                        <a:gd name="connsiteX36" fmla="*/ 352425 w 1219200"/>
                                        <a:gd name="connsiteY36" fmla="*/ 1324287 h 1695762"/>
                                        <a:gd name="connsiteX37" fmla="*/ 409575 w 1219200"/>
                                        <a:gd name="connsiteY37" fmla="*/ 1314762 h 1695762"/>
                                        <a:gd name="connsiteX38" fmla="*/ 438150 w 1219200"/>
                                        <a:gd name="connsiteY38" fmla="*/ 1305237 h 1695762"/>
                                        <a:gd name="connsiteX39" fmla="*/ 514350 w 1219200"/>
                                        <a:gd name="connsiteY39" fmla="*/ 1314762 h 1695762"/>
                                        <a:gd name="connsiteX40" fmla="*/ 542925 w 1219200"/>
                                        <a:gd name="connsiteY40" fmla="*/ 1324287 h 1695762"/>
                                        <a:gd name="connsiteX41" fmla="*/ 581025 w 1219200"/>
                                        <a:gd name="connsiteY41" fmla="*/ 1333812 h 1695762"/>
                                        <a:gd name="connsiteX42" fmla="*/ 609600 w 1219200"/>
                                        <a:gd name="connsiteY42" fmla="*/ 1352862 h 1695762"/>
                                        <a:gd name="connsiteX43" fmla="*/ 638175 w 1219200"/>
                                        <a:gd name="connsiteY43" fmla="*/ 1362387 h 1695762"/>
                                        <a:gd name="connsiteX44" fmla="*/ 647700 w 1219200"/>
                                        <a:gd name="connsiteY44" fmla="*/ 1390962 h 1695762"/>
                                        <a:gd name="connsiteX45" fmla="*/ 695325 w 1219200"/>
                                        <a:gd name="connsiteY45" fmla="*/ 1438587 h 1695762"/>
                                        <a:gd name="connsiteX46" fmla="*/ 714375 w 1219200"/>
                                        <a:gd name="connsiteY46" fmla="*/ 1495737 h 1695762"/>
                                        <a:gd name="connsiteX47" fmla="*/ 781050 w 1219200"/>
                                        <a:gd name="connsiteY47" fmla="*/ 1581462 h 1695762"/>
                                        <a:gd name="connsiteX48" fmla="*/ 800100 w 1219200"/>
                                        <a:gd name="connsiteY48" fmla="*/ 1638612 h 1695762"/>
                                        <a:gd name="connsiteX49" fmla="*/ 828675 w 1219200"/>
                                        <a:gd name="connsiteY49" fmla="*/ 1695762 h 1695762"/>
                                        <a:gd name="connsiteX50" fmla="*/ 933450 w 1219200"/>
                                        <a:gd name="connsiteY50" fmla="*/ 1686237 h 1695762"/>
                                        <a:gd name="connsiteX51" fmla="*/ 942975 w 1219200"/>
                                        <a:gd name="connsiteY51" fmla="*/ 1638612 h 1695762"/>
                                        <a:gd name="connsiteX52" fmla="*/ 971550 w 1219200"/>
                                        <a:gd name="connsiteY52" fmla="*/ 1505262 h 1695762"/>
                                        <a:gd name="connsiteX53" fmla="*/ 990600 w 1219200"/>
                                        <a:gd name="connsiteY53" fmla="*/ 1467162 h 1695762"/>
                                        <a:gd name="connsiteX54" fmla="*/ 1000125 w 1219200"/>
                                        <a:gd name="connsiteY54" fmla="*/ 1438587 h 1695762"/>
                                        <a:gd name="connsiteX55" fmla="*/ 1038225 w 1219200"/>
                                        <a:gd name="connsiteY55" fmla="*/ 1381437 h 1695762"/>
                                        <a:gd name="connsiteX56" fmla="*/ 1057275 w 1219200"/>
                                        <a:gd name="connsiteY56" fmla="*/ 1352862 h 1695762"/>
                                        <a:gd name="connsiteX57" fmla="*/ 1104900 w 1219200"/>
                                        <a:gd name="connsiteY57" fmla="*/ 1295712 h 1695762"/>
                                        <a:gd name="connsiteX58" fmla="*/ 1133475 w 1219200"/>
                                        <a:gd name="connsiteY58" fmla="*/ 1190937 h 1695762"/>
                                        <a:gd name="connsiteX59" fmla="*/ 1162050 w 1219200"/>
                                        <a:gd name="connsiteY59" fmla="*/ 1162362 h 1695762"/>
                                        <a:gd name="connsiteX60" fmla="*/ 1190625 w 1219200"/>
                                        <a:gd name="connsiteY60" fmla="*/ 1152837 h 1695762"/>
                                        <a:gd name="connsiteX61" fmla="*/ 1200150 w 1219200"/>
                                        <a:gd name="connsiteY61" fmla="*/ 1114737 h 1695762"/>
                                        <a:gd name="connsiteX62" fmla="*/ 1219200 w 1219200"/>
                                        <a:gd name="connsiteY62" fmla="*/ 1086162 h 1695762"/>
                                        <a:gd name="connsiteX63" fmla="*/ 1200150 w 1219200"/>
                                        <a:gd name="connsiteY63" fmla="*/ 1048062 h 1695762"/>
                                        <a:gd name="connsiteX64" fmla="*/ 1190625 w 1219200"/>
                                        <a:gd name="connsiteY64" fmla="*/ 1019487 h 1695762"/>
                                        <a:gd name="connsiteX65" fmla="*/ 1181100 w 1219200"/>
                                        <a:gd name="connsiteY65" fmla="*/ 952812 h 1695762"/>
                                        <a:gd name="connsiteX66" fmla="*/ 1133475 w 1219200"/>
                                        <a:gd name="connsiteY66" fmla="*/ 895662 h 1695762"/>
                                        <a:gd name="connsiteX67" fmla="*/ 1104900 w 1219200"/>
                                        <a:gd name="connsiteY67" fmla="*/ 914712 h 1695762"/>
                                        <a:gd name="connsiteX68" fmla="*/ 1095375 w 1219200"/>
                                        <a:gd name="connsiteY68" fmla="*/ 943287 h 1695762"/>
                                        <a:gd name="connsiteX69" fmla="*/ 1038225 w 1219200"/>
                                        <a:gd name="connsiteY69" fmla="*/ 933762 h 1695762"/>
                                        <a:gd name="connsiteX70" fmla="*/ 1019175 w 1219200"/>
                                        <a:gd name="connsiteY70" fmla="*/ 905187 h 1695762"/>
                                        <a:gd name="connsiteX71" fmla="*/ 1009650 w 1219200"/>
                                        <a:gd name="connsiteY71" fmla="*/ 876612 h 1695762"/>
                                        <a:gd name="connsiteX72" fmla="*/ 952500 w 1219200"/>
                                        <a:gd name="connsiteY72" fmla="*/ 838512 h 1695762"/>
                                        <a:gd name="connsiteX73" fmla="*/ 885825 w 1219200"/>
                                        <a:gd name="connsiteY73" fmla="*/ 762312 h 1695762"/>
                                        <a:gd name="connsiteX74" fmla="*/ 876300 w 1219200"/>
                                        <a:gd name="connsiteY74" fmla="*/ 733737 h 1695762"/>
                                        <a:gd name="connsiteX75" fmla="*/ 904875 w 1219200"/>
                                        <a:gd name="connsiteY75" fmla="*/ 676587 h 1695762"/>
                                        <a:gd name="connsiteX76" fmla="*/ 962025 w 1219200"/>
                                        <a:gd name="connsiteY76" fmla="*/ 657537 h 1695762"/>
                                        <a:gd name="connsiteX77" fmla="*/ 1000125 w 1219200"/>
                                        <a:gd name="connsiteY77" fmla="*/ 486087 h 1695762"/>
                                        <a:gd name="connsiteX78" fmla="*/ 990600 w 1219200"/>
                                        <a:gd name="connsiteY78" fmla="*/ 428937 h 1695762"/>
                                        <a:gd name="connsiteX79" fmla="*/ 952500 w 1219200"/>
                                        <a:gd name="connsiteY79" fmla="*/ 438462 h 1695762"/>
                                        <a:gd name="connsiteX80" fmla="*/ 923925 w 1219200"/>
                                        <a:gd name="connsiteY80" fmla="*/ 428937 h 1695762"/>
                                        <a:gd name="connsiteX81" fmla="*/ 876300 w 1219200"/>
                                        <a:gd name="connsiteY81" fmla="*/ 419412 h 1695762"/>
                                        <a:gd name="connsiteX82" fmla="*/ 847725 w 1219200"/>
                                        <a:gd name="connsiteY82" fmla="*/ 390837 h 1695762"/>
                                        <a:gd name="connsiteX83" fmla="*/ 819150 w 1219200"/>
                                        <a:gd name="connsiteY83" fmla="*/ 381312 h 1695762"/>
                                        <a:gd name="connsiteX84" fmla="*/ 809625 w 1219200"/>
                                        <a:gd name="connsiteY84" fmla="*/ 333687 h 1695762"/>
                                        <a:gd name="connsiteX85" fmla="*/ 723900 w 1219200"/>
                                        <a:gd name="connsiteY85" fmla="*/ 305112 h 1695762"/>
                                        <a:gd name="connsiteX86" fmla="*/ 685800 w 1219200"/>
                                        <a:gd name="connsiteY86" fmla="*/ 247962 h 1695762"/>
                                        <a:gd name="connsiteX87" fmla="*/ 438150 w 1219200"/>
                                        <a:gd name="connsiteY87" fmla="*/ 219387 h 1695762"/>
                                        <a:gd name="connsiteX88" fmla="*/ 400050 w 1219200"/>
                                        <a:gd name="connsiteY88" fmla="*/ 162237 h 1695762"/>
                                        <a:gd name="connsiteX89" fmla="*/ 381000 w 1219200"/>
                                        <a:gd name="connsiteY89" fmla="*/ 133662 h 1695762"/>
                                        <a:gd name="connsiteX90" fmla="*/ 352425 w 1219200"/>
                                        <a:gd name="connsiteY90" fmla="*/ 124137 h 1695762"/>
                                        <a:gd name="connsiteX91" fmla="*/ 314325 w 1219200"/>
                                        <a:gd name="connsiteY91" fmla="*/ 105087 h 1695762"/>
                                        <a:gd name="connsiteX92" fmla="*/ 276225 w 1219200"/>
                                        <a:gd name="connsiteY92" fmla="*/ 95562 h 1695762"/>
                                        <a:gd name="connsiteX93" fmla="*/ 209550 w 1219200"/>
                                        <a:gd name="connsiteY93" fmla="*/ 57462 h 1695762"/>
                                        <a:gd name="connsiteX94" fmla="*/ 190500 w 1219200"/>
                                        <a:gd name="connsiteY94" fmla="*/ 28887 h 1695762"/>
                                        <a:gd name="connsiteX95" fmla="*/ 171450 w 1219200"/>
                                        <a:gd name="connsiteY95" fmla="*/ 312 h 16957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Lst>
                                      <a:rect l="l" t="t" r="r" b="b"/>
                                      <a:pathLst>
                                        <a:path w="1219200" h="1695762">
                                          <a:moveTo>
                                            <a:pt x="171450" y="312"/>
                                          </a:moveTo>
                                          <a:cubicBezTo>
                                            <a:pt x="163512" y="3487"/>
                                            <a:pt x="151154" y="31378"/>
                                            <a:pt x="142875" y="47937"/>
                                          </a:cubicBezTo>
                                          <a:cubicBezTo>
                                            <a:pt x="135262" y="63162"/>
                                            <a:pt x="127894" y="100370"/>
                                            <a:pt x="123825" y="114612"/>
                                          </a:cubicBezTo>
                                          <a:cubicBezTo>
                                            <a:pt x="121067" y="124266"/>
                                            <a:pt x="122470" y="137351"/>
                                            <a:pt x="114300" y="143187"/>
                                          </a:cubicBezTo>
                                          <a:cubicBezTo>
                                            <a:pt x="97960" y="154859"/>
                                            <a:pt x="73858" y="151098"/>
                                            <a:pt x="57150" y="162237"/>
                                          </a:cubicBezTo>
                                          <a:lnTo>
                                            <a:pt x="0" y="200337"/>
                                          </a:lnTo>
                                          <a:cubicBezTo>
                                            <a:pt x="3175" y="213037"/>
                                            <a:pt x="3671" y="226728"/>
                                            <a:pt x="9525" y="238437"/>
                                          </a:cubicBezTo>
                                          <a:cubicBezTo>
                                            <a:pt x="19764" y="258915"/>
                                            <a:pt x="40385" y="273867"/>
                                            <a:pt x="47625" y="295587"/>
                                          </a:cubicBezTo>
                                          <a:cubicBezTo>
                                            <a:pt x="50800" y="305112"/>
                                            <a:pt x="54392" y="314508"/>
                                            <a:pt x="57150" y="324162"/>
                                          </a:cubicBezTo>
                                          <a:cubicBezTo>
                                            <a:pt x="61219" y="338404"/>
                                            <a:pt x="68587" y="375612"/>
                                            <a:pt x="76200" y="390837"/>
                                          </a:cubicBezTo>
                                          <a:cubicBezTo>
                                            <a:pt x="81320" y="401076"/>
                                            <a:pt x="90601" y="408951"/>
                                            <a:pt x="95250" y="419412"/>
                                          </a:cubicBezTo>
                                          <a:cubicBezTo>
                                            <a:pt x="103405" y="437762"/>
                                            <a:pt x="114300" y="476562"/>
                                            <a:pt x="114300" y="476562"/>
                                          </a:cubicBezTo>
                                          <a:cubicBezTo>
                                            <a:pt x="108666" y="521637"/>
                                            <a:pt x="116599" y="550463"/>
                                            <a:pt x="85725" y="581337"/>
                                          </a:cubicBezTo>
                                          <a:cubicBezTo>
                                            <a:pt x="77630" y="589432"/>
                                            <a:pt x="66675" y="594037"/>
                                            <a:pt x="57150" y="600387"/>
                                          </a:cubicBezTo>
                                          <a:cubicBezTo>
                                            <a:pt x="60325" y="609912"/>
                                            <a:pt x="58835" y="622690"/>
                                            <a:pt x="66675" y="628962"/>
                                          </a:cubicBezTo>
                                          <a:cubicBezTo>
                                            <a:pt x="76897" y="637140"/>
                                            <a:pt x="92188" y="634891"/>
                                            <a:pt x="104775" y="638487"/>
                                          </a:cubicBezTo>
                                          <a:cubicBezTo>
                                            <a:pt x="114429" y="641245"/>
                                            <a:pt x="124573" y="643136"/>
                                            <a:pt x="133350" y="648012"/>
                                          </a:cubicBezTo>
                                          <a:cubicBezTo>
                                            <a:pt x="166310" y="666323"/>
                                            <a:pt x="195137" y="685962"/>
                                            <a:pt x="219075" y="714687"/>
                                          </a:cubicBezTo>
                                          <a:cubicBezTo>
                                            <a:pt x="233142" y="731568"/>
                                            <a:pt x="248955" y="762181"/>
                                            <a:pt x="257175" y="781362"/>
                                          </a:cubicBezTo>
                                          <a:cubicBezTo>
                                            <a:pt x="261130" y="790590"/>
                                            <a:pt x="261824" y="801160"/>
                                            <a:pt x="266700" y="809937"/>
                                          </a:cubicBezTo>
                                          <a:cubicBezTo>
                                            <a:pt x="277819" y="829951"/>
                                            <a:pt x="304800" y="867087"/>
                                            <a:pt x="304800" y="867087"/>
                                          </a:cubicBezTo>
                                          <a:cubicBezTo>
                                            <a:pt x="301625" y="882962"/>
                                            <a:pt x="304255" y="901242"/>
                                            <a:pt x="295275" y="914712"/>
                                          </a:cubicBezTo>
                                          <a:cubicBezTo>
                                            <a:pt x="289706" y="923066"/>
                                            <a:pt x="271190" y="915257"/>
                                            <a:pt x="266700" y="924237"/>
                                          </a:cubicBezTo>
                                          <a:cubicBezTo>
                                            <a:pt x="262210" y="933217"/>
                                            <a:pt x="270656" y="944458"/>
                                            <a:pt x="276225" y="952812"/>
                                          </a:cubicBezTo>
                                          <a:cubicBezTo>
                                            <a:pt x="297096" y="984118"/>
                                            <a:pt x="307019" y="978473"/>
                                            <a:pt x="333375" y="1000437"/>
                                          </a:cubicBezTo>
                                          <a:cubicBezTo>
                                            <a:pt x="343723" y="1009061"/>
                                            <a:pt x="352425" y="1019487"/>
                                            <a:pt x="361950" y="1029012"/>
                                          </a:cubicBezTo>
                                          <a:cubicBezTo>
                                            <a:pt x="365125" y="1041712"/>
                                            <a:pt x="367879" y="1054525"/>
                                            <a:pt x="371475" y="1067112"/>
                                          </a:cubicBezTo>
                                          <a:cubicBezTo>
                                            <a:pt x="374233" y="1076766"/>
                                            <a:pt x="381000" y="1085647"/>
                                            <a:pt x="381000" y="1095687"/>
                                          </a:cubicBezTo>
                                          <a:cubicBezTo>
                                            <a:pt x="381000" y="1118675"/>
                                            <a:pt x="369466" y="1149338"/>
                                            <a:pt x="361950" y="1171887"/>
                                          </a:cubicBezTo>
                                          <a:cubicBezTo>
                                            <a:pt x="342900" y="1168712"/>
                                            <a:pt x="323536" y="1167046"/>
                                            <a:pt x="304800" y="1162362"/>
                                          </a:cubicBezTo>
                                          <a:cubicBezTo>
                                            <a:pt x="285319" y="1157492"/>
                                            <a:pt x="247650" y="1143312"/>
                                            <a:pt x="247650" y="1143312"/>
                                          </a:cubicBezTo>
                                          <a:cubicBezTo>
                                            <a:pt x="250825" y="1165537"/>
                                            <a:pt x="253159" y="1187898"/>
                                            <a:pt x="257175" y="1209987"/>
                                          </a:cubicBezTo>
                                          <a:cubicBezTo>
                                            <a:pt x="261879" y="1235857"/>
                                            <a:pt x="277871" y="1260317"/>
                                            <a:pt x="257175" y="1286187"/>
                                          </a:cubicBezTo>
                                          <a:cubicBezTo>
                                            <a:pt x="250903" y="1294027"/>
                                            <a:pt x="238125" y="1292537"/>
                                            <a:pt x="228600" y="1295712"/>
                                          </a:cubicBezTo>
                                          <a:cubicBezTo>
                                            <a:pt x="241300" y="1298887"/>
                                            <a:pt x="254113" y="1301641"/>
                                            <a:pt x="266700" y="1305237"/>
                                          </a:cubicBezTo>
                                          <a:cubicBezTo>
                                            <a:pt x="276354" y="1307995"/>
                                            <a:pt x="285474" y="1312584"/>
                                            <a:pt x="295275" y="1314762"/>
                                          </a:cubicBezTo>
                                          <a:cubicBezTo>
                                            <a:pt x="314128" y="1318952"/>
                                            <a:pt x="333375" y="1321112"/>
                                            <a:pt x="352425" y="1324287"/>
                                          </a:cubicBezTo>
                                          <a:cubicBezTo>
                                            <a:pt x="371475" y="1321112"/>
                                            <a:pt x="390722" y="1318952"/>
                                            <a:pt x="409575" y="1314762"/>
                                          </a:cubicBezTo>
                                          <a:cubicBezTo>
                                            <a:pt x="419376" y="1312584"/>
                                            <a:pt x="428110" y="1305237"/>
                                            <a:pt x="438150" y="1305237"/>
                                          </a:cubicBezTo>
                                          <a:cubicBezTo>
                                            <a:pt x="463748" y="1305237"/>
                                            <a:pt x="488950" y="1311587"/>
                                            <a:pt x="514350" y="1314762"/>
                                          </a:cubicBezTo>
                                          <a:cubicBezTo>
                                            <a:pt x="523875" y="1317937"/>
                                            <a:pt x="533271" y="1321529"/>
                                            <a:pt x="542925" y="1324287"/>
                                          </a:cubicBezTo>
                                          <a:cubicBezTo>
                                            <a:pt x="555512" y="1327883"/>
                                            <a:pt x="568993" y="1328655"/>
                                            <a:pt x="581025" y="1333812"/>
                                          </a:cubicBezTo>
                                          <a:cubicBezTo>
                                            <a:pt x="591547" y="1338321"/>
                                            <a:pt x="599361" y="1347742"/>
                                            <a:pt x="609600" y="1352862"/>
                                          </a:cubicBezTo>
                                          <a:cubicBezTo>
                                            <a:pt x="618580" y="1357352"/>
                                            <a:pt x="628650" y="1359212"/>
                                            <a:pt x="638175" y="1362387"/>
                                          </a:cubicBezTo>
                                          <a:cubicBezTo>
                                            <a:pt x="641350" y="1371912"/>
                                            <a:pt x="641428" y="1383122"/>
                                            <a:pt x="647700" y="1390962"/>
                                          </a:cubicBezTo>
                                          <a:cubicBezTo>
                                            <a:pt x="688975" y="1442556"/>
                                            <a:pt x="666750" y="1374293"/>
                                            <a:pt x="695325" y="1438587"/>
                                          </a:cubicBezTo>
                                          <a:cubicBezTo>
                                            <a:pt x="703480" y="1456937"/>
                                            <a:pt x="700176" y="1481538"/>
                                            <a:pt x="714375" y="1495737"/>
                                          </a:cubicBezTo>
                                          <a:cubicBezTo>
                                            <a:pt x="739030" y="1520392"/>
                                            <a:pt x="769657" y="1547283"/>
                                            <a:pt x="781050" y="1581462"/>
                                          </a:cubicBezTo>
                                          <a:cubicBezTo>
                                            <a:pt x="787400" y="1600512"/>
                                            <a:pt x="788961" y="1621904"/>
                                            <a:pt x="800100" y="1638612"/>
                                          </a:cubicBezTo>
                                          <a:cubicBezTo>
                                            <a:pt x="824719" y="1675541"/>
                                            <a:pt x="815530" y="1656327"/>
                                            <a:pt x="828675" y="1695762"/>
                                          </a:cubicBezTo>
                                          <a:lnTo>
                                            <a:pt x="933450" y="1686237"/>
                                          </a:lnTo>
                                          <a:cubicBezTo>
                                            <a:pt x="947930" y="1678997"/>
                                            <a:pt x="940513" y="1654613"/>
                                            <a:pt x="942975" y="1638612"/>
                                          </a:cubicBezTo>
                                          <a:cubicBezTo>
                                            <a:pt x="951306" y="1584458"/>
                                            <a:pt x="947296" y="1553771"/>
                                            <a:pt x="971550" y="1505262"/>
                                          </a:cubicBezTo>
                                          <a:cubicBezTo>
                                            <a:pt x="977900" y="1492562"/>
                                            <a:pt x="985007" y="1480213"/>
                                            <a:pt x="990600" y="1467162"/>
                                          </a:cubicBezTo>
                                          <a:cubicBezTo>
                                            <a:pt x="994555" y="1457934"/>
                                            <a:pt x="995249" y="1447364"/>
                                            <a:pt x="1000125" y="1438587"/>
                                          </a:cubicBezTo>
                                          <a:cubicBezTo>
                                            <a:pt x="1011244" y="1418573"/>
                                            <a:pt x="1025525" y="1400487"/>
                                            <a:pt x="1038225" y="1381437"/>
                                          </a:cubicBezTo>
                                          <a:cubicBezTo>
                                            <a:pt x="1044575" y="1371912"/>
                                            <a:pt x="1049180" y="1360957"/>
                                            <a:pt x="1057275" y="1352862"/>
                                          </a:cubicBezTo>
                                          <a:cubicBezTo>
                                            <a:pt x="1093945" y="1316192"/>
                                            <a:pt x="1078378" y="1335495"/>
                                            <a:pt x="1104900" y="1295712"/>
                                          </a:cubicBezTo>
                                          <a:cubicBezTo>
                                            <a:pt x="1108620" y="1277112"/>
                                            <a:pt x="1121390" y="1203022"/>
                                            <a:pt x="1133475" y="1190937"/>
                                          </a:cubicBezTo>
                                          <a:cubicBezTo>
                                            <a:pt x="1143000" y="1181412"/>
                                            <a:pt x="1150842" y="1169834"/>
                                            <a:pt x="1162050" y="1162362"/>
                                          </a:cubicBezTo>
                                          <a:cubicBezTo>
                                            <a:pt x="1170404" y="1156793"/>
                                            <a:pt x="1181100" y="1156012"/>
                                            <a:pt x="1190625" y="1152837"/>
                                          </a:cubicBezTo>
                                          <a:cubicBezTo>
                                            <a:pt x="1193800" y="1140137"/>
                                            <a:pt x="1194993" y="1126769"/>
                                            <a:pt x="1200150" y="1114737"/>
                                          </a:cubicBezTo>
                                          <a:cubicBezTo>
                                            <a:pt x="1204659" y="1104215"/>
                                            <a:pt x="1219200" y="1097610"/>
                                            <a:pt x="1219200" y="1086162"/>
                                          </a:cubicBezTo>
                                          <a:cubicBezTo>
                                            <a:pt x="1219200" y="1071963"/>
                                            <a:pt x="1205743" y="1061113"/>
                                            <a:pt x="1200150" y="1048062"/>
                                          </a:cubicBezTo>
                                          <a:cubicBezTo>
                                            <a:pt x="1196195" y="1038834"/>
                                            <a:pt x="1193800" y="1029012"/>
                                            <a:pt x="1190625" y="1019487"/>
                                          </a:cubicBezTo>
                                          <a:cubicBezTo>
                                            <a:pt x="1187450" y="997262"/>
                                            <a:pt x="1187551" y="974316"/>
                                            <a:pt x="1181100" y="952812"/>
                                          </a:cubicBezTo>
                                          <a:cubicBezTo>
                                            <a:pt x="1175417" y="933868"/>
                                            <a:pt x="1145624" y="907811"/>
                                            <a:pt x="1133475" y="895662"/>
                                          </a:cubicBezTo>
                                          <a:cubicBezTo>
                                            <a:pt x="1123950" y="902012"/>
                                            <a:pt x="1112051" y="905773"/>
                                            <a:pt x="1104900" y="914712"/>
                                          </a:cubicBezTo>
                                          <a:cubicBezTo>
                                            <a:pt x="1098628" y="922552"/>
                                            <a:pt x="1105029" y="940529"/>
                                            <a:pt x="1095375" y="943287"/>
                                          </a:cubicBezTo>
                                          <a:cubicBezTo>
                                            <a:pt x="1076805" y="948593"/>
                                            <a:pt x="1057275" y="936937"/>
                                            <a:pt x="1038225" y="933762"/>
                                          </a:cubicBezTo>
                                          <a:cubicBezTo>
                                            <a:pt x="1031875" y="924237"/>
                                            <a:pt x="1024295" y="915426"/>
                                            <a:pt x="1019175" y="905187"/>
                                          </a:cubicBezTo>
                                          <a:cubicBezTo>
                                            <a:pt x="1014685" y="896207"/>
                                            <a:pt x="1016750" y="883712"/>
                                            <a:pt x="1009650" y="876612"/>
                                          </a:cubicBezTo>
                                          <a:cubicBezTo>
                                            <a:pt x="993461" y="860423"/>
                                            <a:pt x="952500" y="838512"/>
                                            <a:pt x="952500" y="838512"/>
                                          </a:cubicBezTo>
                                          <a:cubicBezTo>
                                            <a:pt x="908050" y="771837"/>
                                            <a:pt x="933450" y="794062"/>
                                            <a:pt x="885825" y="762312"/>
                                          </a:cubicBezTo>
                                          <a:cubicBezTo>
                                            <a:pt x="882650" y="752787"/>
                                            <a:pt x="876300" y="743777"/>
                                            <a:pt x="876300" y="733737"/>
                                          </a:cubicBezTo>
                                          <a:cubicBezTo>
                                            <a:pt x="876300" y="721411"/>
                                            <a:pt x="895243" y="682607"/>
                                            <a:pt x="904875" y="676587"/>
                                          </a:cubicBezTo>
                                          <a:cubicBezTo>
                                            <a:pt x="921903" y="665944"/>
                                            <a:pt x="962025" y="657537"/>
                                            <a:pt x="962025" y="657537"/>
                                          </a:cubicBezTo>
                                          <a:cubicBezTo>
                                            <a:pt x="996346" y="588895"/>
                                            <a:pt x="994276" y="603076"/>
                                            <a:pt x="1000125" y="486087"/>
                                          </a:cubicBezTo>
                                          <a:cubicBezTo>
                                            <a:pt x="1001089" y="466798"/>
                                            <a:pt x="993775" y="447987"/>
                                            <a:pt x="990600" y="428937"/>
                                          </a:cubicBezTo>
                                          <a:cubicBezTo>
                                            <a:pt x="977900" y="432112"/>
                                            <a:pt x="965591" y="438462"/>
                                            <a:pt x="952500" y="438462"/>
                                          </a:cubicBezTo>
                                          <a:cubicBezTo>
                                            <a:pt x="942460" y="438462"/>
                                            <a:pt x="933665" y="431372"/>
                                            <a:pt x="923925" y="428937"/>
                                          </a:cubicBezTo>
                                          <a:cubicBezTo>
                                            <a:pt x="908219" y="425010"/>
                                            <a:pt x="892175" y="422587"/>
                                            <a:pt x="876300" y="419412"/>
                                          </a:cubicBezTo>
                                          <a:cubicBezTo>
                                            <a:pt x="866775" y="409887"/>
                                            <a:pt x="858933" y="398309"/>
                                            <a:pt x="847725" y="390837"/>
                                          </a:cubicBezTo>
                                          <a:cubicBezTo>
                                            <a:pt x="839371" y="385268"/>
                                            <a:pt x="824719" y="389666"/>
                                            <a:pt x="819150" y="381312"/>
                                          </a:cubicBezTo>
                                          <a:cubicBezTo>
                                            <a:pt x="810170" y="367842"/>
                                            <a:pt x="819035" y="346861"/>
                                            <a:pt x="809625" y="333687"/>
                                          </a:cubicBezTo>
                                          <a:cubicBezTo>
                                            <a:pt x="796480" y="315284"/>
                                            <a:pt x="740485" y="308429"/>
                                            <a:pt x="723900" y="305112"/>
                                          </a:cubicBezTo>
                                          <a:cubicBezTo>
                                            <a:pt x="711200" y="286062"/>
                                            <a:pt x="707520" y="255202"/>
                                            <a:pt x="685800" y="247962"/>
                                          </a:cubicBezTo>
                                          <a:cubicBezTo>
                                            <a:pt x="568333" y="208806"/>
                                            <a:pt x="648705" y="229915"/>
                                            <a:pt x="438150" y="219387"/>
                                          </a:cubicBezTo>
                                          <a:lnTo>
                                            <a:pt x="400050" y="162237"/>
                                          </a:lnTo>
                                          <a:cubicBezTo>
                                            <a:pt x="393700" y="152712"/>
                                            <a:pt x="391860" y="137282"/>
                                            <a:pt x="381000" y="133662"/>
                                          </a:cubicBezTo>
                                          <a:cubicBezTo>
                                            <a:pt x="371475" y="130487"/>
                                            <a:pt x="361653" y="128092"/>
                                            <a:pt x="352425" y="124137"/>
                                          </a:cubicBezTo>
                                          <a:cubicBezTo>
                                            <a:pt x="339374" y="118544"/>
                                            <a:pt x="327620" y="110073"/>
                                            <a:pt x="314325" y="105087"/>
                                          </a:cubicBezTo>
                                          <a:cubicBezTo>
                                            <a:pt x="302068" y="100490"/>
                                            <a:pt x="288482" y="100159"/>
                                            <a:pt x="276225" y="95562"/>
                                          </a:cubicBezTo>
                                          <a:cubicBezTo>
                                            <a:pt x="248603" y="85204"/>
                                            <a:pt x="233237" y="73253"/>
                                            <a:pt x="209550" y="57462"/>
                                          </a:cubicBezTo>
                                          <a:cubicBezTo>
                                            <a:pt x="203200" y="47937"/>
                                            <a:pt x="192382" y="40179"/>
                                            <a:pt x="190500" y="28887"/>
                                          </a:cubicBezTo>
                                          <a:cubicBezTo>
                                            <a:pt x="188849" y="18983"/>
                                            <a:pt x="179388" y="-2863"/>
                                            <a:pt x="171450" y="312"/>
                                          </a:cubicBezTo>
                                          <a:close/>
                                        </a:path>
                                      </a:pathLst>
                                    </a:custGeom>
                                    <a:solidFill>
                                      <a:schemeClr val="accent3">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a:solidFill>
                                            <a:sysClr val="windowText" lastClr="000000"/>
                                          </a:solidFill>
                                        </a:rPr>
                                        <a:t>Pedernales</a:t>
                                      </a:r>
                                    </a:p>
                                    <a:p>
                                      <a:pPr algn="ctr"/>
                                      <a:r>
                                        <a:rPr lang="es-ES" sz="1100" b="1">
                                          <a:solidFill>
                                            <a:sysClr val="windowText" lastClr="000000"/>
                                          </a:solidFill>
                                        </a:rPr>
                                        <a:t>4,081</a:t>
                                      </a:r>
                                    </a:p>
                                    <a:p>
                                      <a:pPr algn="ctr"/>
                                      <a:r>
                                        <a:rPr lang="es-ES" sz="1100" b="1">
                                          <a:solidFill>
                                            <a:sysClr val="windowText" lastClr="000000"/>
                                          </a:solidFill>
                                        </a:rPr>
                                        <a:t>0.1%</a:t>
                                      </a:r>
                                    </a:p>
                                  </xdr:txBody>
                                </xdr:sp>
                                <xdr:sp macro="" textlink="">
                                  <xdr:nvSpPr>
                                    <xdr:cNvPr id="43" name="Forma libre 42"/>
                                    <xdr:cNvSpPr/>
                                  </xdr:nvSpPr>
                                  <xdr:spPr>
                                    <a:xfrm>
                                      <a:off x="1369344" y="3603812"/>
                                      <a:ext cx="1145255" cy="1501588"/>
                                    </a:xfrm>
                                    <a:custGeom>
                                      <a:avLst/>
                                      <a:gdLst>
                                        <a:gd name="connsiteX0" fmla="*/ 933450 w 1190625"/>
                                        <a:gd name="connsiteY0" fmla="*/ 457670 h 1610195"/>
                                        <a:gd name="connsiteX1" fmla="*/ 1019175 w 1190625"/>
                                        <a:gd name="connsiteY1" fmla="*/ 476720 h 1610195"/>
                                        <a:gd name="connsiteX2" fmla="*/ 1038225 w 1190625"/>
                                        <a:gd name="connsiteY2" fmla="*/ 505295 h 1610195"/>
                                        <a:gd name="connsiteX3" fmla="*/ 1066800 w 1190625"/>
                                        <a:gd name="connsiteY3" fmla="*/ 524345 h 1610195"/>
                                        <a:gd name="connsiteX4" fmla="*/ 1123950 w 1190625"/>
                                        <a:gd name="connsiteY4" fmla="*/ 571970 h 1610195"/>
                                        <a:gd name="connsiteX5" fmla="*/ 1133475 w 1190625"/>
                                        <a:gd name="connsiteY5" fmla="*/ 600545 h 1610195"/>
                                        <a:gd name="connsiteX6" fmla="*/ 1152525 w 1190625"/>
                                        <a:gd name="connsiteY6" fmla="*/ 571970 h 1610195"/>
                                        <a:gd name="connsiteX7" fmla="*/ 1171575 w 1190625"/>
                                        <a:gd name="connsiteY7" fmla="*/ 514820 h 1610195"/>
                                        <a:gd name="connsiteX8" fmla="*/ 1162050 w 1190625"/>
                                        <a:gd name="connsiteY8" fmla="*/ 448145 h 1610195"/>
                                        <a:gd name="connsiteX9" fmla="*/ 1133475 w 1190625"/>
                                        <a:gd name="connsiteY9" fmla="*/ 381470 h 1610195"/>
                                        <a:gd name="connsiteX10" fmla="*/ 1019175 w 1190625"/>
                                        <a:gd name="connsiteY10" fmla="*/ 314795 h 1610195"/>
                                        <a:gd name="connsiteX11" fmla="*/ 1009650 w 1190625"/>
                                        <a:gd name="connsiteY11" fmla="*/ 286220 h 1610195"/>
                                        <a:gd name="connsiteX12" fmla="*/ 981075 w 1190625"/>
                                        <a:gd name="connsiteY12" fmla="*/ 276695 h 1610195"/>
                                        <a:gd name="connsiteX13" fmla="*/ 971550 w 1190625"/>
                                        <a:gd name="connsiteY13" fmla="*/ 210020 h 1610195"/>
                                        <a:gd name="connsiteX14" fmla="*/ 1000125 w 1190625"/>
                                        <a:gd name="connsiteY14" fmla="*/ 200495 h 1610195"/>
                                        <a:gd name="connsiteX15" fmla="*/ 1019175 w 1190625"/>
                                        <a:gd name="connsiteY15" fmla="*/ 171920 h 1610195"/>
                                        <a:gd name="connsiteX16" fmla="*/ 1028700 w 1190625"/>
                                        <a:gd name="connsiteY16" fmla="*/ 124295 h 1610195"/>
                                        <a:gd name="connsiteX17" fmla="*/ 1057275 w 1190625"/>
                                        <a:gd name="connsiteY17" fmla="*/ 95720 h 1610195"/>
                                        <a:gd name="connsiteX18" fmla="*/ 1066800 w 1190625"/>
                                        <a:gd name="connsiteY18" fmla="*/ 67145 h 1610195"/>
                                        <a:gd name="connsiteX19" fmla="*/ 866775 w 1190625"/>
                                        <a:gd name="connsiteY19" fmla="*/ 9995 h 1610195"/>
                                        <a:gd name="connsiteX20" fmla="*/ 885825 w 1190625"/>
                                        <a:gd name="connsiteY20" fmla="*/ 48095 h 1610195"/>
                                        <a:gd name="connsiteX21" fmla="*/ 847725 w 1190625"/>
                                        <a:gd name="connsiteY21" fmla="*/ 57620 h 1610195"/>
                                        <a:gd name="connsiteX22" fmla="*/ 742950 w 1190625"/>
                                        <a:gd name="connsiteY22" fmla="*/ 76670 h 1610195"/>
                                        <a:gd name="connsiteX23" fmla="*/ 723900 w 1190625"/>
                                        <a:gd name="connsiteY23" fmla="*/ 105245 h 1610195"/>
                                        <a:gd name="connsiteX24" fmla="*/ 733425 w 1190625"/>
                                        <a:gd name="connsiteY24" fmla="*/ 133820 h 1610195"/>
                                        <a:gd name="connsiteX25" fmla="*/ 657225 w 1190625"/>
                                        <a:gd name="connsiteY25" fmla="*/ 162395 h 1610195"/>
                                        <a:gd name="connsiteX26" fmla="*/ 676275 w 1190625"/>
                                        <a:gd name="connsiteY26" fmla="*/ 190970 h 1610195"/>
                                        <a:gd name="connsiteX27" fmla="*/ 666750 w 1190625"/>
                                        <a:gd name="connsiteY27" fmla="*/ 238595 h 1610195"/>
                                        <a:gd name="connsiteX28" fmla="*/ 600075 w 1190625"/>
                                        <a:gd name="connsiteY28" fmla="*/ 267170 h 1610195"/>
                                        <a:gd name="connsiteX29" fmla="*/ 590550 w 1190625"/>
                                        <a:gd name="connsiteY29" fmla="*/ 305270 h 1610195"/>
                                        <a:gd name="connsiteX30" fmla="*/ 561975 w 1190625"/>
                                        <a:gd name="connsiteY30" fmla="*/ 333845 h 1610195"/>
                                        <a:gd name="connsiteX31" fmla="*/ 581025 w 1190625"/>
                                        <a:gd name="connsiteY31" fmla="*/ 400520 h 1610195"/>
                                        <a:gd name="connsiteX32" fmla="*/ 609600 w 1190625"/>
                                        <a:gd name="connsiteY32" fmla="*/ 419570 h 1610195"/>
                                        <a:gd name="connsiteX33" fmla="*/ 514350 w 1190625"/>
                                        <a:gd name="connsiteY33" fmla="*/ 429095 h 1610195"/>
                                        <a:gd name="connsiteX34" fmla="*/ 485775 w 1190625"/>
                                        <a:gd name="connsiteY34" fmla="*/ 438620 h 1610195"/>
                                        <a:gd name="connsiteX35" fmla="*/ 457200 w 1190625"/>
                                        <a:gd name="connsiteY35" fmla="*/ 543395 h 1610195"/>
                                        <a:gd name="connsiteX36" fmla="*/ 428625 w 1190625"/>
                                        <a:gd name="connsiteY36" fmla="*/ 552920 h 1610195"/>
                                        <a:gd name="connsiteX37" fmla="*/ 333375 w 1190625"/>
                                        <a:gd name="connsiteY37" fmla="*/ 543395 h 1610195"/>
                                        <a:gd name="connsiteX38" fmla="*/ 304800 w 1190625"/>
                                        <a:gd name="connsiteY38" fmla="*/ 514820 h 1610195"/>
                                        <a:gd name="connsiteX39" fmla="*/ 266700 w 1190625"/>
                                        <a:gd name="connsiteY39" fmla="*/ 505295 h 1610195"/>
                                        <a:gd name="connsiteX40" fmla="*/ 133350 w 1190625"/>
                                        <a:gd name="connsiteY40" fmla="*/ 495770 h 1610195"/>
                                        <a:gd name="connsiteX41" fmla="*/ 114300 w 1190625"/>
                                        <a:gd name="connsiteY41" fmla="*/ 552920 h 1610195"/>
                                        <a:gd name="connsiteX42" fmla="*/ 123825 w 1190625"/>
                                        <a:gd name="connsiteY42" fmla="*/ 714845 h 1610195"/>
                                        <a:gd name="connsiteX43" fmla="*/ 133350 w 1190625"/>
                                        <a:gd name="connsiteY43" fmla="*/ 743420 h 1610195"/>
                                        <a:gd name="connsiteX44" fmla="*/ 104775 w 1190625"/>
                                        <a:gd name="connsiteY44" fmla="*/ 752945 h 1610195"/>
                                        <a:gd name="connsiteX45" fmla="*/ 47625 w 1190625"/>
                                        <a:gd name="connsiteY45" fmla="*/ 743420 h 1610195"/>
                                        <a:gd name="connsiteX46" fmla="*/ 19050 w 1190625"/>
                                        <a:gd name="connsiteY46" fmla="*/ 752945 h 1610195"/>
                                        <a:gd name="connsiteX47" fmla="*/ 47625 w 1190625"/>
                                        <a:gd name="connsiteY47" fmla="*/ 895820 h 1610195"/>
                                        <a:gd name="connsiteX48" fmla="*/ 66675 w 1190625"/>
                                        <a:gd name="connsiteY48" fmla="*/ 924395 h 1610195"/>
                                        <a:gd name="connsiteX49" fmla="*/ 104775 w 1190625"/>
                                        <a:gd name="connsiteY49" fmla="*/ 933920 h 1610195"/>
                                        <a:gd name="connsiteX50" fmla="*/ 133350 w 1190625"/>
                                        <a:gd name="connsiteY50" fmla="*/ 943445 h 1610195"/>
                                        <a:gd name="connsiteX51" fmla="*/ 85725 w 1190625"/>
                                        <a:gd name="connsiteY51" fmla="*/ 981545 h 1610195"/>
                                        <a:gd name="connsiteX52" fmla="*/ 95250 w 1190625"/>
                                        <a:gd name="connsiteY52" fmla="*/ 1010120 h 1610195"/>
                                        <a:gd name="connsiteX53" fmla="*/ 114300 w 1190625"/>
                                        <a:gd name="connsiteY53" fmla="*/ 1057745 h 1610195"/>
                                        <a:gd name="connsiteX54" fmla="*/ 133350 w 1190625"/>
                                        <a:gd name="connsiteY54" fmla="*/ 1114895 h 1610195"/>
                                        <a:gd name="connsiteX55" fmla="*/ 95250 w 1190625"/>
                                        <a:gd name="connsiteY55" fmla="*/ 1210145 h 1610195"/>
                                        <a:gd name="connsiteX56" fmla="*/ 38100 w 1190625"/>
                                        <a:gd name="connsiteY56" fmla="*/ 1229195 h 1610195"/>
                                        <a:gd name="connsiteX57" fmla="*/ 9525 w 1190625"/>
                                        <a:gd name="connsiteY57" fmla="*/ 1248245 h 1610195"/>
                                        <a:gd name="connsiteX58" fmla="*/ 0 w 1190625"/>
                                        <a:gd name="connsiteY58" fmla="*/ 1276820 h 1610195"/>
                                        <a:gd name="connsiteX59" fmla="*/ 9525 w 1190625"/>
                                        <a:gd name="connsiteY59" fmla="*/ 1305395 h 1610195"/>
                                        <a:gd name="connsiteX60" fmla="*/ 66675 w 1190625"/>
                                        <a:gd name="connsiteY60" fmla="*/ 1333970 h 1610195"/>
                                        <a:gd name="connsiteX61" fmla="*/ 76200 w 1190625"/>
                                        <a:gd name="connsiteY61" fmla="*/ 1372070 h 1610195"/>
                                        <a:gd name="connsiteX62" fmla="*/ 152400 w 1190625"/>
                                        <a:gd name="connsiteY62" fmla="*/ 1400645 h 1610195"/>
                                        <a:gd name="connsiteX63" fmla="*/ 180975 w 1190625"/>
                                        <a:gd name="connsiteY63" fmla="*/ 1419695 h 1610195"/>
                                        <a:gd name="connsiteX64" fmla="*/ 190500 w 1190625"/>
                                        <a:gd name="connsiteY64" fmla="*/ 1457795 h 1610195"/>
                                        <a:gd name="connsiteX65" fmla="*/ 247650 w 1190625"/>
                                        <a:gd name="connsiteY65" fmla="*/ 1448270 h 1610195"/>
                                        <a:gd name="connsiteX66" fmla="*/ 295275 w 1190625"/>
                                        <a:gd name="connsiteY66" fmla="*/ 1381595 h 1610195"/>
                                        <a:gd name="connsiteX67" fmla="*/ 333375 w 1190625"/>
                                        <a:gd name="connsiteY67" fmla="*/ 1448270 h 1610195"/>
                                        <a:gd name="connsiteX68" fmla="*/ 352425 w 1190625"/>
                                        <a:gd name="connsiteY68" fmla="*/ 1505420 h 1610195"/>
                                        <a:gd name="connsiteX69" fmla="*/ 390525 w 1190625"/>
                                        <a:gd name="connsiteY69" fmla="*/ 1600670 h 1610195"/>
                                        <a:gd name="connsiteX70" fmla="*/ 419100 w 1190625"/>
                                        <a:gd name="connsiteY70" fmla="*/ 1610195 h 1610195"/>
                                        <a:gd name="connsiteX71" fmla="*/ 447675 w 1190625"/>
                                        <a:gd name="connsiteY71" fmla="*/ 1533995 h 1610195"/>
                                        <a:gd name="connsiteX72" fmla="*/ 457200 w 1190625"/>
                                        <a:gd name="connsiteY72" fmla="*/ 1495895 h 1610195"/>
                                        <a:gd name="connsiteX73" fmla="*/ 485775 w 1190625"/>
                                        <a:gd name="connsiteY73" fmla="*/ 1486370 h 1610195"/>
                                        <a:gd name="connsiteX74" fmla="*/ 552450 w 1190625"/>
                                        <a:gd name="connsiteY74" fmla="*/ 1448270 h 1610195"/>
                                        <a:gd name="connsiteX75" fmla="*/ 609600 w 1190625"/>
                                        <a:gd name="connsiteY75" fmla="*/ 1410170 h 1610195"/>
                                        <a:gd name="connsiteX76" fmla="*/ 628650 w 1190625"/>
                                        <a:gd name="connsiteY76" fmla="*/ 1381595 h 1610195"/>
                                        <a:gd name="connsiteX77" fmla="*/ 638175 w 1190625"/>
                                        <a:gd name="connsiteY77" fmla="*/ 1353020 h 1610195"/>
                                        <a:gd name="connsiteX78" fmla="*/ 676275 w 1190625"/>
                                        <a:gd name="connsiteY78" fmla="*/ 1295870 h 1610195"/>
                                        <a:gd name="connsiteX79" fmla="*/ 723900 w 1190625"/>
                                        <a:gd name="connsiteY79" fmla="*/ 1210145 h 1610195"/>
                                        <a:gd name="connsiteX80" fmla="*/ 742950 w 1190625"/>
                                        <a:gd name="connsiteY80" fmla="*/ 1181570 h 1610195"/>
                                        <a:gd name="connsiteX81" fmla="*/ 762000 w 1190625"/>
                                        <a:gd name="connsiteY81" fmla="*/ 1152995 h 1610195"/>
                                        <a:gd name="connsiteX82" fmla="*/ 790575 w 1190625"/>
                                        <a:gd name="connsiteY82" fmla="*/ 1133945 h 1610195"/>
                                        <a:gd name="connsiteX83" fmla="*/ 838200 w 1190625"/>
                                        <a:gd name="connsiteY83" fmla="*/ 1086320 h 1610195"/>
                                        <a:gd name="connsiteX84" fmla="*/ 866775 w 1190625"/>
                                        <a:gd name="connsiteY84" fmla="*/ 1048220 h 1610195"/>
                                        <a:gd name="connsiteX85" fmla="*/ 904875 w 1190625"/>
                                        <a:gd name="connsiteY85" fmla="*/ 991070 h 1610195"/>
                                        <a:gd name="connsiteX86" fmla="*/ 895350 w 1190625"/>
                                        <a:gd name="connsiteY86" fmla="*/ 829145 h 1610195"/>
                                        <a:gd name="connsiteX87" fmla="*/ 885825 w 1190625"/>
                                        <a:gd name="connsiteY87" fmla="*/ 800570 h 1610195"/>
                                        <a:gd name="connsiteX88" fmla="*/ 857250 w 1190625"/>
                                        <a:gd name="connsiteY88" fmla="*/ 705320 h 1610195"/>
                                        <a:gd name="connsiteX89" fmla="*/ 828675 w 1190625"/>
                                        <a:gd name="connsiteY89" fmla="*/ 686270 h 1610195"/>
                                        <a:gd name="connsiteX90" fmla="*/ 819150 w 1190625"/>
                                        <a:gd name="connsiteY90" fmla="*/ 648170 h 1610195"/>
                                        <a:gd name="connsiteX91" fmla="*/ 809625 w 1190625"/>
                                        <a:gd name="connsiteY91" fmla="*/ 619595 h 1610195"/>
                                        <a:gd name="connsiteX92" fmla="*/ 876300 w 1190625"/>
                                        <a:gd name="connsiteY92" fmla="*/ 533870 h 1610195"/>
                                        <a:gd name="connsiteX93" fmla="*/ 904875 w 1190625"/>
                                        <a:gd name="connsiteY93" fmla="*/ 524345 h 1610195"/>
                                        <a:gd name="connsiteX94" fmla="*/ 962025 w 1190625"/>
                                        <a:gd name="connsiteY94" fmla="*/ 495770 h 1610195"/>
                                        <a:gd name="connsiteX95" fmla="*/ 1047750 w 1190625"/>
                                        <a:gd name="connsiteY95" fmla="*/ 533870 h 1610195"/>
                                        <a:gd name="connsiteX96" fmla="*/ 1057275 w 1190625"/>
                                        <a:gd name="connsiteY96" fmla="*/ 562445 h 1610195"/>
                                        <a:gd name="connsiteX97" fmla="*/ 1085850 w 1190625"/>
                                        <a:gd name="connsiteY97" fmla="*/ 581495 h 1610195"/>
                                        <a:gd name="connsiteX98" fmla="*/ 1190625 w 1190625"/>
                                        <a:gd name="connsiteY98" fmla="*/ 610070 h 1610195"/>
                                        <a:gd name="connsiteX99" fmla="*/ 1162050 w 1190625"/>
                                        <a:gd name="connsiteY99" fmla="*/ 591020 h 16101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Lst>
                                      <a:rect l="l" t="t" r="r" b="b"/>
                                      <a:pathLst>
                                        <a:path w="1190625" h="1610195">
                                          <a:moveTo>
                                            <a:pt x="933450" y="457670"/>
                                          </a:moveTo>
                                          <a:cubicBezTo>
                                            <a:pt x="934500" y="457880"/>
                                            <a:pt x="1013410" y="472877"/>
                                            <a:pt x="1019175" y="476720"/>
                                          </a:cubicBezTo>
                                          <a:cubicBezTo>
                                            <a:pt x="1028700" y="483070"/>
                                            <a:pt x="1030130" y="497200"/>
                                            <a:pt x="1038225" y="505295"/>
                                          </a:cubicBezTo>
                                          <a:cubicBezTo>
                                            <a:pt x="1046320" y="513390"/>
                                            <a:pt x="1058006" y="517016"/>
                                            <a:pt x="1066800" y="524345"/>
                                          </a:cubicBezTo>
                                          <a:cubicBezTo>
                                            <a:pt x="1140139" y="585461"/>
                                            <a:pt x="1053004" y="524672"/>
                                            <a:pt x="1123950" y="571970"/>
                                          </a:cubicBezTo>
                                          <a:cubicBezTo>
                                            <a:pt x="1127125" y="581495"/>
                                            <a:pt x="1123435" y="600545"/>
                                            <a:pt x="1133475" y="600545"/>
                                          </a:cubicBezTo>
                                          <a:cubicBezTo>
                                            <a:pt x="1144923" y="600545"/>
                                            <a:pt x="1147876" y="582431"/>
                                            <a:pt x="1152525" y="571970"/>
                                          </a:cubicBezTo>
                                          <a:cubicBezTo>
                                            <a:pt x="1160680" y="553620"/>
                                            <a:pt x="1171575" y="514820"/>
                                            <a:pt x="1171575" y="514820"/>
                                          </a:cubicBezTo>
                                          <a:cubicBezTo>
                                            <a:pt x="1168400" y="492595"/>
                                            <a:pt x="1172953" y="467770"/>
                                            <a:pt x="1162050" y="448145"/>
                                          </a:cubicBezTo>
                                          <a:cubicBezTo>
                                            <a:pt x="1119522" y="371594"/>
                                            <a:pt x="1109704" y="500324"/>
                                            <a:pt x="1133475" y="381470"/>
                                          </a:cubicBezTo>
                                          <a:cubicBezTo>
                                            <a:pt x="1115263" y="272199"/>
                                            <a:pt x="1148489" y="357900"/>
                                            <a:pt x="1019175" y="314795"/>
                                          </a:cubicBezTo>
                                          <a:cubicBezTo>
                                            <a:pt x="1009650" y="311620"/>
                                            <a:pt x="1016750" y="293320"/>
                                            <a:pt x="1009650" y="286220"/>
                                          </a:cubicBezTo>
                                          <a:cubicBezTo>
                                            <a:pt x="1002550" y="279120"/>
                                            <a:pt x="990600" y="279870"/>
                                            <a:pt x="981075" y="276695"/>
                                          </a:cubicBezTo>
                                          <a:cubicBezTo>
                                            <a:pt x="965521" y="253364"/>
                                            <a:pt x="946947" y="240774"/>
                                            <a:pt x="971550" y="210020"/>
                                          </a:cubicBezTo>
                                          <a:cubicBezTo>
                                            <a:pt x="977822" y="202180"/>
                                            <a:pt x="990600" y="203670"/>
                                            <a:pt x="1000125" y="200495"/>
                                          </a:cubicBezTo>
                                          <a:cubicBezTo>
                                            <a:pt x="1006475" y="190970"/>
                                            <a:pt x="1015155" y="182639"/>
                                            <a:pt x="1019175" y="171920"/>
                                          </a:cubicBezTo>
                                          <a:cubicBezTo>
                                            <a:pt x="1024859" y="156761"/>
                                            <a:pt x="1021460" y="138775"/>
                                            <a:pt x="1028700" y="124295"/>
                                          </a:cubicBezTo>
                                          <a:cubicBezTo>
                                            <a:pt x="1034724" y="112247"/>
                                            <a:pt x="1047750" y="105245"/>
                                            <a:pt x="1057275" y="95720"/>
                                          </a:cubicBezTo>
                                          <a:cubicBezTo>
                                            <a:pt x="1060450" y="86195"/>
                                            <a:pt x="1066800" y="77185"/>
                                            <a:pt x="1066800" y="67145"/>
                                          </a:cubicBezTo>
                                          <a:cubicBezTo>
                                            <a:pt x="1066800" y="-41725"/>
                                            <a:pt x="987069" y="16010"/>
                                            <a:pt x="866775" y="9995"/>
                                          </a:cubicBezTo>
                                          <a:cubicBezTo>
                                            <a:pt x="873125" y="22695"/>
                                            <a:pt x="891098" y="34912"/>
                                            <a:pt x="885825" y="48095"/>
                                          </a:cubicBezTo>
                                          <a:cubicBezTo>
                                            <a:pt x="880963" y="60250"/>
                                            <a:pt x="860312" y="54024"/>
                                            <a:pt x="847725" y="57620"/>
                                          </a:cubicBezTo>
                                          <a:cubicBezTo>
                                            <a:pt x="779204" y="77197"/>
                                            <a:pt x="869043" y="60908"/>
                                            <a:pt x="742950" y="76670"/>
                                          </a:cubicBezTo>
                                          <a:cubicBezTo>
                                            <a:pt x="736600" y="86195"/>
                                            <a:pt x="725782" y="93953"/>
                                            <a:pt x="723900" y="105245"/>
                                          </a:cubicBezTo>
                                          <a:cubicBezTo>
                                            <a:pt x="722249" y="115149"/>
                                            <a:pt x="737154" y="124498"/>
                                            <a:pt x="733425" y="133820"/>
                                          </a:cubicBezTo>
                                          <a:cubicBezTo>
                                            <a:pt x="724894" y="155147"/>
                                            <a:pt x="668679" y="160104"/>
                                            <a:pt x="657225" y="162395"/>
                                          </a:cubicBezTo>
                                          <a:cubicBezTo>
                                            <a:pt x="663575" y="171920"/>
                                            <a:pt x="674855" y="179611"/>
                                            <a:pt x="676275" y="190970"/>
                                          </a:cubicBezTo>
                                          <a:cubicBezTo>
                                            <a:pt x="678283" y="207034"/>
                                            <a:pt x="674782" y="224539"/>
                                            <a:pt x="666750" y="238595"/>
                                          </a:cubicBezTo>
                                          <a:cubicBezTo>
                                            <a:pt x="655787" y="257780"/>
                                            <a:pt x="616685" y="263017"/>
                                            <a:pt x="600075" y="267170"/>
                                          </a:cubicBezTo>
                                          <a:cubicBezTo>
                                            <a:pt x="596900" y="279870"/>
                                            <a:pt x="597045" y="293904"/>
                                            <a:pt x="590550" y="305270"/>
                                          </a:cubicBezTo>
                                          <a:cubicBezTo>
                                            <a:pt x="583867" y="316966"/>
                                            <a:pt x="565676" y="320893"/>
                                            <a:pt x="561975" y="333845"/>
                                          </a:cubicBezTo>
                                          <a:cubicBezTo>
                                            <a:pt x="561615" y="335106"/>
                                            <a:pt x="576810" y="395251"/>
                                            <a:pt x="581025" y="400520"/>
                                          </a:cubicBezTo>
                                          <a:cubicBezTo>
                                            <a:pt x="588176" y="409459"/>
                                            <a:pt x="600075" y="413220"/>
                                            <a:pt x="609600" y="419570"/>
                                          </a:cubicBezTo>
                                          <a:cubicBezTo>
                                            <a:pt x="577850" y="422745"/>
                                            <a:pt x="545887" y="424243"/>
                                            <a:pt x="514350" y="429095"/>
                                          </a:cubicBezTo>
                                          <a:cubicBezTo>
                                            <a:pt x="504427" y="430622"/>
                                            <a:pt x="491344" y="430266"/>
                                            <a:pt x="485775" y="438620"/>
                                          </a:cubicBezTo>
                                          <a:cubicBezTo>
                                            <a:pt x="476462" y="452589"/>
                                            <a:pt x="476222" y="537054"/>
                                            <a:pt x="457200" y="543395"/>
                                          </a:cubicBezTo>
                                          <a:lnTo>
                                            <a:pt x="428625" y="552920"/>
                                          </a:lnTo>
                                          <a:cubicBezTo>
                                            <a:pt x="396875" y="549745"/>
                                            <a:pt x="363872" y="552779"/>
                                            <a:pt x="333375" y="543395"/>
                                          </a:cubicBezTo>
                                          <a:cubicBezTo>
                                            <a:pt x="320500" y="539434"/>
                                            <a:pt x="316496" y="521503"/>
                                            <a:pt x="304800" y="514820"/>
                                          </a:cubicBezTo>
                                          <a:cubicBezTo>
                                            <a:pt x="293434" y="508325"/>
                                            <a:pt x="279400" y="508470"/>
                                            <a:pt x="266700" y="505295"/>
                                          </a:cubicBezTo>
                                          <a:cubicBezTo>
                                            <a:pt x="223030" y="476181"/>
                                            <a:pt x="206381" y="456446"/>
                                            <a:pt x="133350" y="495770"/>
                                          </a:cubicBezTo>
                                          <a:cubicBezTo>
                                            <a:pt x="115670" y="505290"/>
                                            <a:pt x="114300" y="552920"/>
                                            <a:pt x="114300" y="552920"/>
                                          </a:cubicBezTo>
                                          <a:cubicBezTo>
                                            <a:pt x="117475" y="606895"/>
                                            <a:pt x="118445" y="661045"/>
                                            <a:pt x="123825" y="714845"/>
                                          </a:cubicBezTo>
                                          <a:cubicBezTo>
                                            <a:pt x="124824" y="724835"/>
                                            <a:pt x="137840" y="734440"/>
                                            <a:pt x="133350" y="743420"/>
                                          </a:cubicBezTo>
                                          <a:cubicBezTo>
                                            <a:pt x="128860" y="752400"/>
                                            <a:pt x="114300" y="749770"/>
                                            <a:pt x="104775" y="752945"/>
                                          </a:cubicBezTo>
                                          <a:cubicBezTo>
                                            <a:pt x="85725" y="749770"/>
                                            <a:pt x="66938" y="743420"/>
                                            <a:pt x="47625" y="743420"/>
                                          </a:cubicBezTo>
                                          <a:cubicBezTo>
                                            <a:pt x="37585" y="743420"/>
                                            <a:pt x="21019" y="743100"/>
                                            <a:pt x="19050" y="752945"/>
                                          </a:cubicBezTo>
                                          <a:cubicBezTo>
                                            <a:pt x="14799" y="774198"/>
                                            <a:pt x="30653" y="870362"/>
                                            <a:pt x="47625" y="895820"/>
                                          </a:cubicBezTo>
                                          <a:cubicBezTo>
                                            <a:pt x="53975" y="905345"/>
                                            <a:pt x="57150" y="918045"/>
                                            <a:pt x="66675" y="924395"/>
                                          </a:cubicBezTo>
                                          <a:cubicBezTo>
                                            <a:pt x="77567" y="931657"/>
                                            <a:pt x="92188" y="930324"/>
                                            <a:pt x="104775" y="933920"/>
                                          </a:cubicBezTo>
                                          <a:cubicBezTo>
                                            <a:pt x="114429" y="936678"/>
                                            <a:pt x="123825" y="940270"/>
                                            <a:pt x="133350" y="943445"/>
                                          </a:cubicBezTo>
                                          <a:cubicBezTo>
                                            <a:pt x="154792" y="1007771"/>
                                            <a:pt x="141603" y="936843"/>
                                            <a:pt x="85725" y="981545"/>
                                          </a:cubicBezTo>
                                          <a:cubicBezTo>
                                            <a:pt x="77885" y="987817"/>
                                            <a:pt x="91725" y="1000719"/>
                                            <a:pt x="95250" y="1010120"/>
                                          </a:cubicBezTo>
                                          <a:cubicBezTo>
                                            <a:pt x="101253" y="1026129"/>
                                            <a:pt x="108457" y="1041677"/>
                                            <a:pt x="114300" y="1057745"/>
                                          </a:cubicBezTo>
                                          <a:cubicBezTo>
                                            <a:pt x="121162" y="1076616"/>
                                            <a:pt x="133350" y="1114895"/>
                                            <a:pt x="133350" y="1114895"/>
                                          </a:cubicBezTo>
                                          <a:cubicBezTo>
                                            <a:pt x="126988" y="1146703"/>
                                            <a:pt x="124385" y="1187484"/>
                                            <a:pt x="95250" y="1210145"/>
                                          </a:cubicBezTo>
                                          <a:cubicBezTo>
                                            <a:pt x="79399" y="1222473"/>
                                            <a:pt x="54808" y="1218056"/>
                                            <a:pt x="38100" y="1229195"/>
                                          </a:cubicBezTo>
                                          <a:lnTo>
                                            <a:pt x="9525" y="1248245"/>
                                          </a:lnTo>
                                          <a:cubicBezTo>
                                            <a:pt x="6350" y="1257770"/>
                                            <a:pt x="0" y="1266780"/>
                                            <a:pt x="0" y="1276820"/>
                                          </a:cubicBezTo>
                                          <a:cubicBezTo>
                                            <a:pt x="0" y="1286860"/>
                                            <a:pt x="3253" y="1297555"/>
                                            <a:pt x="9525" y="1305395"/>
                                          </a:cubicBezTo>
                                          <a:cubicBezTo>
                                            <a:pt x="22954" y="1322181"/>
                                            <a:pt x="47851" y="1327695"/>
                                            <a:pt x="66675" y="1333970"/>
                                          </a:cubicBezTo>
                                          <a:cubicBezTo>
                                            <a:pt x="69850" y="1346670"/>
                                            <a:pt x="68938" y="1361178"/>
                                            <a:pt x="76200" y="1372070"/>
                                          </a:cubicBezTo>
                                          <a:cubicBezTo>
                                            <a:pt x="91293" y="1394710"/>
                                            <a:pt x="131666" y="1396498"/>
                                            <a:pt x="152400" y="1400645"/>
                                          </a:cubicBezTo>
                                          <a:cubicBezTo>
                                            <a:pt x="161925" y="1406995"/>
                                            <a:pt x="174625" y="1410170"/>
                                            <a:pt x="180975" y="1419695"/>
                                          </a:cubicBezTo>
                                          <a:cubicBezTo>
                                            <a:pt x="188237" y="1430587"/>
                                            <a:pt x="178468" y="1452638"/>
                                            <a:pt x="190500" y="1457795"/>
                                          </a:cubicBezTo>
                                          <a:cubicBezTo>
                                            <a:pt x="208251" y="1465403"/>
                                            <a:pt x="228600" y="1451445"/>
                                            <a:pt x="247650" y="1448270"/>
                                          </a:cubicBezTo>
                                          <a:cubicBezTo>
                                            <a:pt x="269875" y="1381595"/>
                                            <a:pt x="247650" y="1397470"/>
                                            <a:pt x="295275" y="1381595"/>
                                          </a:cubicBezTo>
                                          <a:cubicBezTo>
                                            <a:pt x="345341" y="1398284"/>
                                            <a:pt x="316104" y="1379184"/>
                                            <a:pt x="333375" y="1448270"/>
                                          </a:cubicBezTo>
                                          <a:cubicBezTo>
                                            <a:pt x="338245" y="1467751"/>
                                            <a:pt x="352425" y="1505420"/>
                                            <a:pt x="352425" y="1505420"/>
                                          </a:cubicBezTo>
                                          <a:cubicBezTo>
                                            <a:pt x="360892" y="1573153"/>
                                            <a:pt x="341760" y="1576287"/>
                                            <a:pt x="390525" y="1600670"/>
                                          </a:cubicBezTo>
                                          <a:cubicBezTo>
                                            <a:pt x="399505" y="1605160"/>
                                            <a:pt x="409575" y="1607020"/>
                                            <a:pt x="419100" y="1610195"/>
                                          </a:cubicBezTo>
                                          <a:cubicBezTo>
                                            <a:pt x="448517" y="1566069"/>
                                            <a:pt x="433943" y="1595788"/>
                                            <a:pt x="447675" y="1533995"/>
                                          </a:cubicBezTo>
                                          <a:cubicBezTo>
                                            <a:pt x="450515" y="1521216"/>
                                            <a:pt x="449022" y="1506117"/>
                                            <a:pt x="457200" y="1495895"/>
                                          </a:cubicBezTo>
                                          <a:cubicBezTo>
                                            <a:pt x="463472" y="1488055"/>
                                            <a:pt x="476250" y="1489545"/>
                                            <a:pt x="485775" y="1486370"/>
                                          </a:cubicBezTo>
                                          <a:cubicBezTo>
                                            <a:pt x="549932" y="1422213"/>
                                            <a:pt x="475698" y="1486646"/>
                                            <a:pt x="552450" y="1448270"/>
                                          </a:cubicBezTo>
                                          <a:cubicBezTo>
                                            <a:pt x="572928" y="1438031"/>
                                            <a:pt x="609600" y="1410170"/>
                                            <a:pt x="609600" y="1410170"/>
                                          </a:cubicBezTo>
                                          <a:cubicBezTo>
                                            <a:pt x="615950" y="1400645"/>
                                            <a:pt x="623530" y="1391834"/>
                                            <a:pt x="628650" y="1381595"/>
                                          </a:cubicBezTo>
                                          <a:cubicBezTo>
                                            <a:pt x="633140" y="1372615"/>
                                            <a:pt x="633299" y="1361797"/>
                                            <a:pt x="638175" y="1353020"/>
                                          </a:cubicBezTo>
                                          <a:cubicBezTo>
                                            <a:pt x="649294" y="1333006"/>
                                            <a:pt x="669035" y="1317590"/>
                                            <a:pt x="676275" y="1295870"/>
                                          </a:cubicBezTo>
                                          <a:cubicBezTo>
                                            <a:pt x="693040" y="1245575"/>
                                            <a:pt x="680231" y="1275649"/>
                                            <a:pt x="723900" y="1210145"/>
                                          </a:cubicBezTo>
                                          <a:lnTo>
                                            <a:pt x="742950" y="1181570"/>
                                          </a:lnTo>
                                          <a:cubicBezTo>
                                            <a:pt x="749300" y="1172045"/>
                                            <a:pt x="752475" y="1159345"/>
                                            <a:pt x="762000" y="1152995"/>
                                          </a:cubicBezTo>
                                          <a:lnTo>
                                            <a:pt x="790575" y="1133945"/>
                                          </a:lnTo>
                                          <a:cubicBezTo>
                                            <a:pt x="841375" y="1057745"/>
                                            <a:pt x="774700" y="1149820"/>
                                            <a:pt x="838200" y="1086320"/>
                                          </a:cubicBezTo>
                                          <a:cubicBezTo>
                                            <a:pt x="849425" y="1075095"/>
                                            <a:pt x="857671" y="1061225"/>
                                            <a:pt x="866775" y="1048220"/>
                                          </a:cubicBezTo>
                                          <a:cubicBezTo>
                                            <a:pt x="879905" y="1029463"/>
                                            <a:pt x="904875" y="991070"/>
                                            <a:pt x="904875" y="991070"/>
                                          </a:cubicBezTo>
                                          <a:cubicBezTo>
                                            <a:pt x="901700" y="937095"/>
                                            <a:pt x="900730" y="882945"/>
                                            <a:pt x="895350" y="829145"/>
                                          </a:cubicBezTo>
                                          <a:cubicBezTo>
                                            <a:pt x="894351" y="819155"/>
                                            <a:pt x="887794" y="810415"/>
                                            <a:pt x="885825" y="800570"/>
                                          </a:cubicBezTo>
                                          <a:cubicBezTo>
                                            <a:pt x="876832" y="755605"/>
                                            <a:pt x="887657" y="735727"/>
                                            <a:pt x="857250" y="705320"/>
                                          </a:cubicBezTo>
                                          <a:cubicBezTo>
                                            <a:pt x="849155" y="697225"/>
                                            <a:pt x="838200" y="692620"/>
                                            <a:pt x="828675" y="686270"/>
                                          </a:cubicBezTo>
                                          <a:cubicBezTo>
                                            <a:pt x="825500" y="673570"/>
                                            <a:pt x="822746" y="660757"/>
                                            <a:pt x="819150" y="648170"/>
                                          </a:cubicBezTo>
                                          <a:cubicBezTo>
                                            <a:pt x="816392" y="638516"/>
                                            <a:pt x="806450" y="629120"/>
                                            <a:pt x="809625" y="619595"/>
                                          </a:cubicBezTo>
                                          <a:cubicBezTo>
                                            <a:pt x="815031" y="603376"/>
                                            <a:pt x="855167" y="547959"/>
                                            <a:pt x="876300" y="533870"/>
                                          </a:cubicBezTo>
                                          <a:cubicBezTo>
                                            <a:pt x="884654" y="528301"/>
                                            <a:pt x="895895" y="528835"/>
                                            <a:pt x="904875" y="524345"/>
                                          </a:cubicBezTo>
                                          <a:cubicBezTo>
                                            <a:pt x="978733" y="487416"/>
                                            <a:pt x="890201" y="519711"/>
                                            <a:pt x="962025" y="495770"/>
                                          </a:cubicBezTo>
                                          <a:cubicBezTo>
                                            <a:pt x="1023399" y="504538"/>
                                            <a:pt x="1024728" y="487827"/>
                                            <a:pt x="1047750" y="533870"/>
                                          </a:cubicBezTo>
                                          <a:cubicBezTo>
                                            <a:pt x="1052240" y="542850"/>
                                            <a:pt x="1051003" y="554605"/>
                                            <a:pt x="1057275" y="562445"/>
                                          </a:cubicBezTo>
                                          <a:cubicBezTo>
                                            <a:pt x="1064426" y="571384"/>
                                            <a:pt x="1075611" y="576375"/>
                                            <a:pt x="1085850" y="581495"/>
                                          </a:cubicBezTo>
                                          <a:cubicBezTo>
                                            <a:pt x="1131740" y="604440"/>
                                            <a:pt x="1138824" y="601437"/>
                                            <a:pt x="1190625" y="610070"/>
                                          </a:cubicBezTo>
                                          <a:lnTo>
                                            <a:pt x="1162050" y="591020"/>
                                          </a:lnTo>
                                        </a:path>
                                      </a:pathLst>
                                    </a:custGeom>
                                    <a:solidFill>
                                      <a:schemeClr val="accent3">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a:solidFill>
                                            <a:sysClr val="windowText" lastClr="000000"/>
                                          </a:solidFill>
                                        </a:rPr>
                                        <a:t>Barahona</a:t>
                                      </a:r>
                                    </a:p>
                                    <a:p>
                                      <a:pPr algn="ctr"/>
                                      <a:r>
                                        <a:rPr lang="es-ES" sz="1100" b="1">
                                          <a:solidFill>
                                            <a:sysClr val="windowText" lastClr="000000"/>
                                          </a:solidFill>
                                        </a:rPr>
                                        <a:t>22,802</a:t>
                                      </a:r>
                                    </a:p>
                                    <a:p>
                                      <a:pPr algn="ctr"/>
                                      <a:r>
                                        <a:rPr lang="es-ES" sz="1100" b="1">
                                          <a:solidFill>
                                            <a:sysClr val="windowText" lastClr="000000"/>
                                          </a:solidFill>
                                        </a:rPr>
                                        <a:t>0.8%</a:t>
                                      </a:r>
                                    </a:p>
                                  </xdr:txBody>
                                </xdr:sp>
                                <xdr:sp macro="" textlink="">
                                  <xdr:nvSpPr>
                                    <xdr:cNvPr id="44" name="Forma libre 43"/>
                                    <xdr:cNvSpPr/>
                                  </xdr:nvSpPr>
                                  <xdr:spPr>
                                    <a:xfrm>
                                      <a:off x="1885386" y="2305050"/>
                                      <a:ext cx="1696014" cy="1857388"/>
                                    </a:xfrm>
                                    <a:custGeom>
                                      <a:avLst/>
                                      <a:gdLst>
                                        <a:gd name="connsiteX0" fmla="*/ 543489 w 1696014"/>
                                        <a:gd name="connsiteY0" fmla="*/ 1847850 h 1857388"/>
                                        <a:gd name="connsiteX1" fmla="*/ 505389 w 1696014"/>
                                        <a:gd name="connsiteY1" fmla="*/ 1619250 h 1857388"/>
                                        <a:gd name="connsiteX2" fmla="*/ 476814 w 1696014"/>
                                        <a:gd name="connsiteY2" fmla="*/ 1609725 h 1857388"/>
                                        <a:gd name="connsiteX3" fmla="*/ 505389 w 1696014"/>
                                        <a:gd name="connsiteY3" fmla="*/ 1600200 h 1857388"/>
                                        <a:gd name="connsiteX4" fmla="*/ 524439 w 1696014"/>
                                        <a:gd name="connsiteY4" fmla="*/ 1571625 h 1857388"/>
                                        <a:gd name="connsiteX5" fmla="*/ 486339 w 1696014"/>
                                        <a:gd name="connsiteY5" fmla="*/ 1524000 h 1857388"/>
                                        <a:gd name="connsiteX6" fmla="*/ 362514 w 1696014"/>
                                        <a:gd name="connsiteY6" fmla="*/ 1514475 h 1857388"/>
                                        <a:gd name="connsiteX7" fmla="*/ 333939 w 1696014"/>
                                        <a:gd name="connsiteY7" fmla="*/ 1504950 h 1857388"/>
                                        <a:gd name="connsiteX8" fmla="*/ 333939 w 1696014"/>
                                        <a:gd name="connsiteY8" fmla="*/ 1438275 h 1857388"/>
                                        <a:gd name="connsiteX9" fmla="*/ 362514 w 1696014"/>
                                        <a:gd name="connsiteY9" fmla="*/ 1419225 h 1857388"/>
                                        <a:gd name="connsiteX10" fmla="*/ 419664 w 1696014"/>
                                        <a:gd name="connsiteY10" fmla="*/ 1400175 h 1857388"/>
                                        <a:gd name="connsiteX11" fmla="*/ 448239 w 1696014"/>
                                        <a:gd name="connsiteY11" fmla="*/ 1314450 h 1857388"/>
                                        <a:gd name="connsiteX12" fmla="*/ 457764 w 1696014"/>
                                        <a:gd name="connsiteY12" fmla="*/ 1285875 h 1857388"/>
                                        <a:gd name="connsiteX13" fmla="*/ 448239 w 1696014"/>
                                        <a:gd name="connsiteY13" fmla="*/ 1238250 h 1857388"/>
                                        <a:gd name="connsiteX14" fmla="*/ 419664 w 1696014"/>
                                        <a:gd name="connsiteY14" fmla="*/ 1228725 h 1857388"/>
                                        <a:gd name="connsiteX15" fmla="*/ 352989 w 1696014"/>
                                        <a:gd name="connsiteY15" fmla="*/ 1219200 h 1857388"/>
                                        <a:gd name="connsiteX16" fmla="*/ 372039 w 1696014"/>
                                        <a:gd name="connsiteY16" fmla="*/ 1171575 h 1857388"/>
                                        <a:gd name="connsiteX17" fmla="*/ 429189 w 1696014"/>
                                        <a:gd name="connsiteY17" fmla="*/ 1190625 h 1857388"/>
                                        <a:gd name="connsiteX18" fmla="*/ 457764 w 1696014"/>
                                        <a:gd name="connsiteY18" fmla="*/ 1200150 h 1857388"/>
                                        <a:gd name="connsiteX19" fmla="*/ 476814 w 1696014"/>
                                        <a:gd name="connsiteY19" fmla="*/ 1171575 h 1857388"/>
                                        <a:gd name="connsiteX20" fmla="*/ 429189 w 1696014"/>
                                        <a:gd name="connsiteY20" fmla="*/ 1133475 h 1857388"/>
                                        <a:gd name="connsiteX21" fmla="*/ 314889 w 1696014"/>
                                        <a:gd name="connsiteY21" fmla="*/ 1095375 h 1857388"/>
                                        <a:gd name="connsiteX22" fmla="*/ 229164 w 1696014"/>
                                        <a:gd name="connsiteY22" fmla="*/ 1057275 h 1857388"/>
                                        <a:gd name="connsiteX23" fmla="*/ 114864 w 1696014"/>
                                        <a:gd name="connsiteY23" fmla="*/ 1038225 h 1857388"/>
                                        <a:gd name="connsiteX24" fmla="*/ 105339 w 1696014"/>
                                        <a:gd name="connsiteY24" fmla="*/ 1000125 h 1857388"/>
                                        <a:gd name="connsiteX25" fmla="*/ 86289 w 1696014"/>
                                        <a:gd name="connsiteY25" fmla="*/ 971550 h 1857388"/>
                                        <a:gd name="connsiteX26" fmla="*/ 19614 w 1696014"/>
                                        <a:gd name="connsiteY26" fmla="*/ 952500 h 1857388"/>
                                        <a:gd name="connsiteX27" fmla="*/ 564 w 1696014"/>
                                        <a:gd name="connsiteY27" fmla="*/ 914400 h 1857388"/>
                                        <a:gd name="connsiteX28" fmla="*/ 181539 w 1696014"/>
                                        <a:gd name="connsiteY28" fmla="*/ 857250 h 1857388"/>
                                        <a:gd name="connsiteX29" fmla="*/ 248214 w 1696014"/>
                                        <a:gd name="connsiteY29" fmla="*/ 828675 h 1857388"/>
                                        <a:gd name="connsiteX30" fmla="*/ 286314 w 1696014"/>
                                        <a:gd name="connsiteY30" fmla="*/ 762000 h 1857388"/>
                                        <a:gd name="connsiteX31" fmla="*/ 314889 w 1696014"/>
                                        <a:gd name="connsiteY31" fmla="*/ 771525 h 1857388"/>
                                        <a:gd name="connsiteX32" fmla="*/ 343464 w 1696014"/>
                                        <a:gd name="connsiteY32" fmla="*/ 666750 h 1857388"/>
                                        <a:gd name="connsiteX33" fmla="*/ 352989 w 1696014"/>
                                        <a:gd name="connsiteY33" fmla="*/ 638175 h 1857388"/>
                                        <a:gd name="connsiteX34" fmla="*/ 343464 w 1696014"/>
                                        <a:gd name="connsiteY34" fmla="*/ 609600 h 1857388"/>
                                        <a:gd name="connsiteX35" fmla="*/ 333939 w 1696014"/>
                                        <a:gd name="connsiteY35" fmla="*/ 552450 h 1857388"/>
                                        <a:gd name="connsiteX36" fmla="*/ 362514 w 1696014"/>
                                        <a:gd name="connsiteY36" fmla="*/ 542925 h 1857388"/>
                                        <a:gd name="connsiteX37" fmla="*/ 486339 w 1696014"/>
                                        <a:gd name="connsiteY37" fmla="*/ 571500 h 1857388"/>
                                        <a:gd name="connsiteX38" fmla="*/ 495864 w 1696014"/>
                                        <a:gd name="connsiteY38" fmla="*/ 381000 h 1857388"/>
                                        <a:gd name="connsiteX39" fmla="*/ 467289 w 1696014"/>
                                        <a:gd name="connsiteY39" fmla="*/ 352425 h 1857388"/>
                                        <a:gd name="connsiteX40" fmla="*/ 457764 w 1696014"/>
                                        <a:gd name="connsiteY40" fmla="*/ 323850 h 1857388"/>
                                        <a:gd name="connsiteX41" fmla="*/ 495864 w 1696014"/>
                                        <a:gd name="connsiteY41" fmla="*/ 266700 h 1857388"/>
                                        <a:gd name="connsiteX42" fmla="*/ 524439 w 1696014"/>
                                        <a:gd name="connsiteY42" fmla="*/ 257175 h 1857388"/>
                                        <a:gd name="connsiteX43" fmla="*/ 533964 w 1696014"/>
                                        <a:gd name="connsiteY43" fmla="*/ 228600 h 1857388"/>
                                        <a:gd name="connsiteX44" fmla="*/ 543489 w 1696014"/>
                                        <a:gd name="connsiteY44" fmla="*/ 190500 h 1857388"/>
                                        <a:gd name="connsiteX45" fmla="*/ 610164 w 1696014"/>
                                        <a:gd name="connsiteY45" fmla="*/ 180975 h 1857388"/>
                                        <a:gd name="connsiteX46" fmla="*/ 648264 w 1696014"/>
                                        <a:gd name="connsiteY46" fmla="*/ 142875 h 1857388"/>
                                        <a:gd name="connsiteX47" fmla="*/ 610164 w 1696014"/>
                                        <a:gd name="connsiteY47" fmla="*/ 133350 h 1857388"/>
                                        <a:gd name="connsiteX48" fmla="*/ 619689 w 1696014"/>
                                        <a:gd name="connsiteY48" fmla="*/ 95250 h 1857388"/>
                                        <a:gd name="connsiteX49" fmla="*/ 667314 w 1696014"/>
                                        <a:gd name="connsiteY49" fmla="*/ 85725 h 1857388"/>
                                        <a:gd name="connsiteX50" fmla="*/ 724464 w 1696014"/>
                                        <a:gd name="connsiteY50" fmla="*/ 76200 h 1857388"/>
                                        <a:gd name="connsiteX51" fmla="*/ 733989 w 1696014"/>
                                        <a:gd name="connsiteY51" fmla="*/ 38100 h 1857388"/>
                                        <a:gd name="connsiteX52" fmla="*/ 762564 w 1696014"/>
                                        <a:gd name="connsiteY52" fmla="*/ 19050 h 1857388"/>
                                        <a:gd name="connsiteX53" fmla="*/ 829239 w 1696014"/>
                                        <a:gd name="connsiteY53" fmla="*/ 0 h 1857388"/>
                                        <a:gd name="connsiteX54" fmla="*/ 848289 w 1696014"/>
                                        <a:gd name="connsiteY54" fmla="*/ 133350 h 1857388"/>
                                        <a:gd name="connsiteX55" fmla="*/ 838764 w 1696014"/>
                                        <a:gd name="connsiteY55" fmla="*/ 171450 h 1857388"/>
                                        <a:gd name="connsiteX56" fmla="*/ 819714 w 1696014"/>
                                        <a:gd name="connsiteY56" fmla="*/ 200025 h 1857388"/>
                                        <a:gd name="connsiteX57" fmla="*/ 848289 w 1696014"/>
                                        <a:gd name="connsiteY57" fmla="*/ 219075 h 1857388"/>
                                        <a:gd name="connsiteX58" fmla="*/ 857814 w 1696014"/>
                                        <a:gd name="connsiteY58" fmla="*/ 257175 h 1857388"/>
                                        <a:gd name="connsiteX59" fmla="*/ 867339 w 1696014"/>
                                        <a:gd name="connsiteY59" fmla="*/ 371475 h 1857388"/>
                                        <a:gd name="connsiteX60" fmla="*/ 895914 w 1696014"/>
                                        <a:gd name="connsiteY60" fmla="*/ 400050 h 1857388"/>
                                        <a:gd name="connsiteX61" fmla="*/ 953064 w 1696014"/>
                                        <a:gd name="connsiteY61" fmla="*/ 428625 h 1857388"/>
                                        <a:gd name="connsiteX62" fmla="*/ 962589 w 1696014"/>
                                        <a:gd name="connsiteY62" fmla="*/ 457200 h 1857388"/>
                                        <a:gd name="connsiteX63" fmla="*/ 1010214 w 1696014"/>
                                        <a:gd name="connsiteY63" fmla="*/ 514350 h 1857388"/>
                                        <a:gd name="connsiteX64" fmla="*/ 1134039 w 1696014"/>
                                        <a:gd name="connsiteY64" fmla="*/ 561975 h 1857388"/>
                                        <a:gd name="connsiteX65" fmla="*/ 1162614 w 1696014"/>
                                        <a:gd name="connsiteY65" fmla="*/ 581025 h 1857388"/>
                                        <a:gd name="connsiteX66" fmla="*/ 1210239 w 1696014"/>
                                        <a:gd name="connsiteY66" fmla="*/ 638175 h 1857388"/>
                                        <a:gd name="connsiteX67" fmla="*/ 1219764 w 1696014"/>
                                        <a:gd name="connsiteY67" fmla="*/ 666750 h 1857388"/>
                                        <a:gd name="connsiteX68" fmla="*/ 1210239 w 1696014"/>
                                        <a:gd name="connsiteY68" fmla="*/ 733425 h 1857388"/>
                                        <a:gd name="connsiteX69" fmla="*/ 1181664 w 1696014"/>
                                        <a:gd name="connsiteY69" fmla="*/ 752475 h 1857388"/>
                                        <a:gd name="connsiteX70" fmla="*/ 1191189 w 1696014"/>
                                        <a:gd name="connsiteY70" fmla="*/ 781050 h 1857388"/>
                                        <a:gd name="connsiteX71" fmla="*/ 1248339 w 1696014"/>
                                        <a:gd name="connsiteY71" fmla="*/ 800100 h 1857388"/>
                                        <a:gd name="connsiteX72" fmla="*/ 1267389 w 1696014"/>
                                        <a:gd name="connsiteY72" fmla="*/ 828675 h 1857388"/>
                                        <a:gd name="connsiteX73" fmla="*/ 1248339 w 1696014"/>
                                        <a:gd name="connsiteY73" fmla="*/ 923925 h 1857388"/>
                                        <a:gd name="connsiteX74" fmla="*/ 1257864 w 1696014"/>
                                        <a:gd name="connsiteY74" fmla="*/ 1038225 h 1857388"/>
                                        <a:gd name="connsiteX75" fmla="*/ 1286439 w 1696014"/>
                                        <a:gd name="connsiteY75" fmla="*/ 1047750 h 1857388"/>
                                        <a:gd name="connsiteX76" fmla="*/ 1324539 w 1696014"/>
                                        <a:gd name="connsiteY76" fmla="*/ 1066800 h 1857388"/>
                                        <a:gd name="connsiteX77" fmla="*/ 1419789 w 1696014"/>
                                        <a:gd name="connsiteY77" fmla="*/ 1133475 h 1857388"/>
                                        <a:gd name="connsiteX78" fmla="*/ 1438839 w 1696014"/>
                                        <a:gd name="connsiteY78" fmla="*/ 1162050 h 1857388"/>
                                        <a:gd name="connsiteX79" fmla="*/ 1467414 w 1696014"/>
                                        <a:gd name="connsiteY79" fmla="*/ 1171575 h 1857388"/>
                                        <a:gd name="connsiteX80" fmla="*/ 1534089 w 1696014"/>
                                        <a:gd name="connsiteY80" fmla="*/ 1200150 h 1857388"/>
                                        <a:gd name="connsiteX81" fmla="*/ 1562664 w 1696014"/>
                                        <a:gd name="connsiteY81" fmla="*/ 1228725 h 1857388"/>
                                        <a:gd name="connsiteX82" fmla="*/ 1619814 w 1696014"/>
                                        <a:gd name="connsiteY82" fmla="*/ 1276350 h 1857388"/>
                                        <a:gd name="connsiteX83" fmla="*/ 1629339 w 1696014"/>
                                        <a:gd name="connsiteY83" fmla="*/ 1304925 h 1857388"/>
                                        <a:gd name="connsiteX84" fmla="*/ 1648389 w 1696014"/>
                                        <a:gd name="connsiteY84" fmla="*/ 1333500 h 1857388"/>
                                        <a:gd name="connsiteX85" fmla="*/ 1667439 w 1696014"/>
                                        <a:gd name="connsiteY85" fmla="*/ 1457325 h 1857388"/>
                                        <a:gd name="connsiteX86" fmla="*/ 1696014 w 1696014"/>
                                        <a:gd name="connsiteY86" fmla="*/ 1514475 h 1857388"/>
                                        <a:gd name="connsiteX87" fmla="*/ 1686489 w 1696014"/>
                                        <a:gd name="connsiteY87" fmla="*/ 1552575 h 1857388"/>
                                        <a:gd name="connsiteX88" fmla="*/ 1638864 w 1696014"/>
                                        <a:gd name="connsiteY88" fmla="*/ 1638300 h 1857388"/>
                                        <a:gd name="connsiteX89" fmla="*/ 1648389 w 1696014"/>
                                        <a:gd name="connsiteY89" fmla="*/ 1676400 h 1857388"/>
                                        <a:gd name="connsiteX90" fmla="*/ 1667439 w 1696014"/>
                                        <a:gd name="connsiteY90" fmla="*/ 1733550 h 1857388"/>
                                        <a:gd name="connsiteX91" fmla="*/ 1495989 w 1696014"/>
                                        <a:gd name="connsiteY91" fmla="*/ 1800225 h 1857388"/>
                                        <a:gd name="connsiteX92" fmla="*/ 1438839 w 1696014"/>
                                        <a:gd name="connsiteY92" fmla="*/ 1819275 h 1857388"/>
                                        <a:gd name="connsiteX93" fmla="*/ 1381689 w 1696014"/>
                                        <a:gd name="connsiteY93" fmla="*/ 1809750 h 1857388"/>
                                        <a:gd name="connsiteX94" fmla="*/ 1372164 w 1696014"/>
                                        <a:gd name="connsiteY94" fmla="*/ 1781175 h 1857388"/>
                                        <a:gd name="connsiteX95" fmla="*/ 1410264 w 1696014"/>
                                        <a:gd name="connsiteY95" fmla="*/ 1657350 h 1857388"/>
                                        <a:gd name="connsiteX96" fmla="*/ 1419789 w 1696014"/>
                                        <a:gd name="connsiteY96" fmla="*/ 1628775 h 1857388"/>
                                        <a:gd name="connsiteX97" fmla="*/ 1400739 w 1696014"/>
                                        <a:gd name="connsiteY97" fmla="*/ 1524000 h 1857388"/>
                                        <a:gd name="connsiteX98" fmla="*/ 1391214 w 1696014"/>
                                        <a:gd name="connsiteY98" fmla="*/ 1495425 h 1857388"/>
                                        <a:gd name="connsiteX99" fmla="*/ 1372164 w 1696014"/>
                                        <a:gd name="connsiteY99" fmla="*/ 1466850 h 1857388"/>
                                        <a:gd name="connsiteX100" fmla="*/ 1324539 w 1696014"/>
                                        <a:gd name="connsiteY100" fmla="*/ 1457325 h 1857388"/>
                                        <a:gd name="connsiteX101" fmla="*/ 1286439 w 1696014"/>
                                        <a:gd name="connsiteY101" fmla="*/ 1447800 h 1857388"/>
                                        <a:gd name="connsiteX102" fmla="*/ 1229289 w 1696014"/>
                                        <a:gd name="connsiteY102" fmla="*/ 1428750 h 1857388"/>
                                        <a:gd name="connsiteX103" fmla="*/ 1162614 w 1696014"/>
                                        <a:gd name="connsiteY103" fmla="*/ 1438275 h 1857388"/>
                                        <a:gd name="connsiteX104" fmla="*/ 1134039 w 1696014"/>
                                        <a:gd name="connsiteY104" fmla="*/ 1447800 h 1857388"/>
                                        <a:gd name="connsiteX105" fmla="*/ 1114989 w 1696014"/>
                                        <a:gd name="connsiteY105" fmla="*/ 1485900 h 1857388"/>
                                        <a:gd name="connsiteX106" fmla="*/ 1095939 w 1696014"/>
                                        <a:gd name="connsiteY106" fmla="*/ 1571625 h 1857388"/>
                                        <a:gd name="connsiteX107" fmla="*/ 1086414 w 1696014"/>
                                        <a:gd name="connsiteY107" fmla="*/ 1600200 h 1857388"/>
                                        <a:gd name="connsiteX108" fmla="*/ 943539 w 1696014"/>
                                        <a:gd name="connsiteY108" fmla="*/ 1590675 h 1857388"/>
                                        <a:gd name="connsiteX109" fmla="*/ 867339 w 1696014"/>
                                        <a:gd name="connsiteY109" fmla="*/ 1590675 h 1857388"/>
                                        <a:gd name="connsiteX110" fmla="*/ 791139 w 1696014"/>
                                        <a:gd name="connsiteY110" fmla="*/ 1638300 h 1857388"/>
                                        <a:gd name="connsiteX111" fmla="*/ 762564 w 1696014"/>
                                        <a:gd name="connsiteY111" fmla="*/ 1695450 h 1857388"/>
                                        <a:gd name="connsiteX112" fmla="*/ 705414 w 1696014"/>
                                        <a:gd name="connsiteY112" fmla="*/ 1733550 h 1857388"/>
                                        <a:gd name="connsiteX113" fmla="*/ 648264 w 1696014"/>
                                        <a:gd name="connsiteY113" fmla="*/ 1781175 h 1857388"/>
                                        <a:gd name="connsiteX114" fmla="*/ 629214 w 1696014"/>
                                        <a:gd name="connsiteY114" fmla="*/ 1809750 h 1857388"/>
                                        <a:gd name="connsiteX115" fmla="*/ 610164 w 1696014"/>
                                        <a:gd name="connsiteY115" fmla="*/ 1847850 h 1857388"/>
                                        <a:gd name="connsiteX116" fmla="*/ 581589 w 1696014"/>
                                        <a:gd name="connsiteY116" fmla="*/ 1857375 h 1857388"/>
                                        <a:gd name="connsiteX117" fmla="*/ 533964 w 1696014"/>
                                        <a:gd name="connsiteY117" fmla="*/ 1819275 h 1857388"/>
                                        <a:gd name="connsiteX118" fmla="*/ 543489 w 1696014"/>
                                        <a:gd name="connsiteY118" fmla="*/ 1847850 h 18573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Lst>
                                      <a:rect l="l" t="t" r="r" b="b"/>
                                      <a:pathLst>
                                        <a:path w="1696014" h="1857388">
                                          <a:moveTo>
                                            <a:pt x="543489" y="1847850"/>
                                          </a:moveTo>
                                          <a:cubicBezTo>
                                            <a:pt x="538727" y="1814513"/>
                                            <a:pt x="579922" y="1668938"/>
                                            <a:pt x="505389" y="1619250"/>
                                          </a:cubicBezTo>
                                          <a:cubicBezTo>
                                            <a:pt x="497035" y="1613681"/>
                                            <a:pt x="486339" y="1612900"/>
                                            <a:pt x="476814" y="1609725"/>
                                          </a:cubicBezTo>
                                          <a:cubicBezTo>
                                            <a:pt x="486339" y="1606550"/>
                                            <a:pt x="497549" y="1606472"/>
                                            <a:pt x="505389" y="1600200"/>
                                          </a:cubicBezTo>
                                          <a:cubicBezTo>
                                            <a:pt x="514328" y="1593049"/>
                                            <a:pt x="522557" y="1582917"/>
                                            <a:pt x="524439" y="1571625"/>
                                          </a:cubicBezTo>
                                          <a:cubicBezTo>
                                            <a:pt x="527906" y="1550824"/>
                                            <a:pt x="504328" y="1527373"/>
                                            <a:pt x="486339" y="1524000"/>
                                          </a:cubicBezTo>
                                          <a:cubicBezTo>
                                            <a:pt x="445651" y="1516371"/>
                                            <a:pt x="403789" y="1517650"/>
                                            <a:pt x="362514" y="1514475"/>
                                          </a:cubicBezTo>
                                          <a:cubicBezTo>
                                            <a:pt x="352989" y="1511300"/>
                                            <a:pt x="341039" y="1512050"/>
                                            <a:pt x="333939" y="1504950"/>
                                          </a:cubicBezTo>
                                          <a:cubicBezTo>
                                            <a:pt x="318516" y="1489527"/>
                                            <a:pt x="324272" y="1452775"/>
                                            <a:pt x="333939" y="1438275"/>
                                          </a:cubicBezTo>
                                          <a:cubicBezTo>
                                            <a:pt x="340289" y="1428750"/>
                                            <a:pt x="352053" y="1423874"/>
                                            <a:pt x="362514" y="1419225"/>
                                          </a:cubicBezTo>
                                          <a:cubicBezTo>
                                            <a:pt x="380864" y="1411070"/>
                                            <a:pt x="419664" y="1400175"/>
                                            <a:pt x="419664" y="1400175"/>
                                          </a:cubicBezTo>
                                          <a:lnTo>
                                            <a:pt x="448239" y="1314450"/>
                                          </a:lnTo>
                                          <a:lnTo>
                                            <a:pt x="457764" y="1285875"/>
                                          </a:lnTo>
                                          <a:cubicBezTo>
                                            <a:pt x="454589" y="1270000"/>
                                            <a:pt x="457219" y="1251720"/>
                                            <a:pt x="448239" y="1238250"/>
                                          </a:cubicBezTo>
                                          <a:cubicBezTo>
                                            <a:pt x="442670" y="1229896"/>
                                            <a:pt x="429509" y="1230694"/>
                                            <a:pt x="419664" y="1228725"/>
                                          </a:cubicBezTo>
                                          <a:cubicBezTo>
                                            <a:pt x="397649" y="1224322"/>
                                            <a:pt x="375214" y="1222375"/>
                                            <a:pt x="352989" y="1219200"/>
                                          </a:cubicBezTo>
                                          <a:cubicBezTo>
                                            <a:pt x="347137" y="1195794"/>
                                            <a:pt x="326360" y="1166500"/>
                                            <a:pt x="372039" y="1171575"/>
                                          </a:cubicBezTo>
                                          <a:cubicBezTo>
                                            <a:pt x="391997" y="1173793"/>
                                            <a:pt x="410139" y="1184275"/>
                                            <a:pt x="429189" y="1190625"/>
                                          </a:cubicBezTo>
                                          <a:lnTo>
                                            <a:pt x="457764" y="1200150"/>
                                          </a:lnTo>
                                          <a:cubicBezTo>
                                            <a:pt x="464114" y="1190625"/>
                                            <a:pt x="476814" y="1183023"/>
                                            <a:pt x="476814" y="1171575"/>
                                          </a:cubicBezTo>
                                          <a:cubicBezTo>
                                            <a:pt x="476814" y="1142852"/>
                                            <a:pt x="447032" y="1139423"/>
                                            <a:pt x="429189" y="1133475"/>
                                          </a:cubicBezTo>
                                          <a:cubicBezTo>
                                            <a:pt x="375124" y="1079410"/>
                                            <a:pt x="425015" y="1117400"/>
                                            <a:pt x="314889" y="1095375"/>
                                          </a:cubicBezTo>
                                          <a:cubicBezTo>
                                            <a:pt x="166310" y="1065659"/>
                                            <a:pt x="320378" y="1091480"/>
                                            <a:pt x="229164" y="1057275"/>
                                          </a:cubicBezTo>
                                          <a:cubicBezTo>
                                            <a:pt x="212022" y="1050847"/>
                                            <a:pt x="124765" y="1039639"/>
                                            <a:pt x="114864" y="1038225"/>
                                          </a:cubicBezTo>
                                          <a:cubicBezTo>
                                            <a:pt x="111689" y="1025525"/>
                                            <a:pt x="110496" y="1012157"/>
                                            <a:pt x="105339" y="1000125"/>
                                          </a:cubicBezTo>
                                          <a:cubicBezTo>
                                            <a:pt x="100830" y="989603"/>
                                            <a:pt x="95228" y="978701"/>
                                            <a:pt x="86289" y="971550"/>
                                          </a:cubicBezTo>
                                          <a:cubicBezTo>
                                            <a:pt x="80078" y="966581"/>
                                            <a:pt x="22103" y="953122"/>
                                            <a:pt x="19614" y="952500"/>
                                          </a:cubicBezTo>
                                          <a:cubicBezTo>
                                            <a:pt x="13264" y="939800"/>
                                            <a:pt x="2325" y="928489"/>
                                            <a:pt x="564" y="914400"/>
                                          </a:cubicBezTo>
                                          <a:cubicBezTo>
                                            <a:pt x="-10689" y="824373"/>
                                            <a:pt x="149606" y="860798"/>
                                            <a:pt x="181539" y="857250"/>
                                          </a:cubicBezTo>
                                          <a:cubicBezTo>
                                            <a:pt x="195495" y="852598"/>
                                            <a:pt x="240858" y="838974"/>
                                            <a:pt x="248214" y="828675"/>
                                          </a:cubicBezTo>
                                          <a:cubicBezTo>
                                            <a:pt x="317764" y="731304"/>
                                            <a:pt x="203412" y="817268"/>
                                            <a:pt x="286314" y="762000"/>
                                          </a:cubicBezTo>
                                          <a:cubicBezTo>
                                            <a:pt x="295839" y="765175"/>
                                            <a:pt x="307789" y="778625"/>
                                            <a:pt x="314889" y="771525"/>
                                          </a:cubicBezTo>
                                          <a:cubicBezTo>
                                            <a:pt x="328512" y="757902"/>
                                            <a:pt x="338504" y="686590"/>
                                            <a:pt x="343464" y="666750"/>
                                          </a:cubicBezTo>
                                          <a:cubicBezTo>
                                            <a:pt x="345899" y="657010"/>
                                            <a:pt x="349814" y="647700"/>
                                            <a:pt x="352989" y="638175"/>
                                          </a:cubicBezTo>
                                          <a:cubicBezTo>
                                            <a:pt x="349814" y="628650"/>
                                            <a:pt x="347954" y="618580"/>
                                            <a:pt x="343464" y="609600"/>
                                          </a:cubicBezTo>
                                          <a:cubicBezTo>
                                            <a:pt x="332940" y="588551"/>
                                            <a:pt x="308432" y="577957"/>
                                            <a:pt x="333939" y="552450"/>
                                          </a:cubicBezTo>
                                          <a:cubicBezTo>
                                            <a:pt x="341039" y="545350"/>
                                            <a:pt x="352989" y="546100"/>
                                            <a:pt x="362514" y="542925"/>
                                          </a:cubicBezTo>
                                          <a:cubicBezTo>
                                            <a:pt x="467609" y="563944"/>
                                            <a:pt x="427047" y="551736"/>
                                            <a:pt x="486339" y="571500"/>
                                          </a:cubicBezTo>
                                          <a:cubicBezTo>
                                            <a:pt x="501064" y="497876"/>
                                            <a:pt x="519040" y="456322"/>
                                            <a:pt x="495864" y="381000"/>
                                          </a:cubicBezTo>
                                          <a:cubicBezTo>
                                            <a:pt x="491903" y="368125"/>
                                            <a:pt x="476814" y="361950"/>
                                            <a:pt x="467289" y="352425"/>
                                          </a:cubicBezTo>
                                          <a:cubicBezTo>
                                            <a:pt x="464114" y="342900"/>
                                            <a:pt x="457764" y="333890"/>
                                            <a:pt x="457764" y="323850"/>
                                          </a:cubicBezTo>
                                          <a:cubicBezTo>
                                            <a:pt x="457764" y="300549"/>
                                            <a:pt x="478684" y="278154"/>
                                            <a:pt x="495864" y="266700"/>
                                          </a:cubicBezTo>
                                          <a:cubicBezTo>
                                            <a:pt x="504218" y="261131"/>
                                            <a:pt x="514914" y="260350"/>
                                            <a:pt x="524439" y="257175"/>
                                          </a:cubicBezTo>
                                          <a:cubicBezTo>
                                            <a:pt x="527614" y="247650"/>
                                            <a:pt x="531206" y="238254"/>
                                            <a:pt x="533964" y="228600"/>
                                          </a:cubicBezTo>
                                          <a:cubicBezTo>
                                            <a:pt x="537560" y="216013"/>
                                            <a:pt x="532388" y="197438"/>
                                            <a:pt x="543489" y="190500"/>
                                          </a:cubicBezTo>
                                          <a:cubicBezTo>
                                            <a:pt x="562527" y="178601"/>
                                            <a:pt x="587939" y="184150"/>
                                            <a:pt x="610164" y="180975"/>
                                          </a:cubicBezTo>
                                          <a:cubicBezTo>
                                            <a:pt x="615244" y="179282"/>
                                            <a:pt x="668584" y="169968"/>
                                            <a:pt x="648264" y="142875"/>
                                          </a:cubicBezTo>
                                          <a:cubicBezTo>
                                            <a:pt x="640409" y="132402"/>
                                            <a:pt x="622864" y="136525"/>
                                            <a:pt x="610164" y="133350"/>
                                          </a:cubicBezTo>
                                          <a:cubicBezTo>
                                            <a:pt x="613339" y="120650"/>
                                            <a:pt x="609632" y="103631"/>
                                            <a:pt x="619689" y="95250"/>
                                          </a:cubicBezTo>
                                          <a:cubicBezTo>
                                            <a:pt x="632126" y="84886"/>
                                            <a:pt x="651386" y="88621"/>
                                            <a:pt x="667314" y="85725"/>
                                          </a:cubicBezTo>
                                          <a:cubicBezTo>
                                            <a:pt x="686315" y="82270"/>
                                            <a:pt x="705414" y="79375"/>
                                            <a:pt x="724464" y="76200"/>
                                          </a:cubicBezTo>
                                          <a:cubicBezTo>
                                            <a:pt x="727639" y="63500"/>
                                            <a:pt x="726727" y="48992"/>
                                            <a:pt x="733989" y="38100"/>
                                          </a:cubicBezTo>
                                          <a:cubicBezTo>
                                            <a:pt x="740339" y="28575"/>
                                            <a:pt x="752325" y="24170"/>
                                            <a:pt x="762564" y="19050"/>
                                          </a:cubicBezTo>
                                          <a:cubicBezTo>
                                            <a:pt x="776229" y="12218"/>
                                            <a:pt x="817032" y="3052"/>
                                            <a:pt x="829239" y="0"/>
                                          </a:cubicBezTo>
                                          <a:cubicBezTo>
                                            <a:pt x="846867" y="52883"/>
                                            <a:pt x="848289" y="49878"/>
                                            <a:pt x="848289" y="133350"/>
                                          </a:cubicBezTo>
                                          <a:cubicBezTo>
                                            <a:pt x="848289" y="146441"/>
                                            <a:pt x="843921" y="159418"/>
                                            <a:pt x="838764" y="171450"/>
                                          </a:cubicBezTo>
                                          <a:cubicBezTo>
                                            <a:pt x="834255" y="181972"/>
                                            <a:pt x="826064" y="190500"/>
                                            <a:pt x="819714" y="200025"/>
                                          </a:cubicBezTo>
                                          <a:cubicBezTo>
                                            <a:pt x="829239" y="206375"/>
                                            <a:pt x="841939" y="209550"/>
                                            <a:pt x="848289" y="219075"/>
                                          </a:cubicBezTo>
                                          <a:cubicBezTo>
                                            <a:pt x="855551" y="229967"/>
                                            <a:pt x="856190" y="244185"/>
                                            <a:pt x="857814" y="257175"/>
                                          </a:cubicBezTo>
                                          <a:cubicBezTo>
                                            <a:pt x="862556" y="295112"/>
                                            <a:pt x="857488" y="334534"/>
                                            <a:pt x="867339" y="371475"/>
                                          </a:cubicBezTo>
                                          <a:cubicBezTo>
                                            <a:pt x="870810" y="384491"/>
                                            <a:pt x="885566" y="391426"/>
                                            <a:pt x="895914" y="400050"/>
                                          </a:cubicBezTo>
                                          <a:cubicBezTo>
                                            <a:pt x="920533" y="420566"/>
                                            <a:pt x="924425" y="419079"/>
                                            <a:pt x="953064" y="428625"/>
                                          </a:cubicBezTo>
                                          <a:cubicBezTo>
                                            <a:pt x="956239" y="438150"/>
                                            <a:pt x="958099" y="448220"/>
                                            <a:pt x="962589" y="457200"/>
                                          </a:cubicBezTo>
                                          <a:cubicBezTo>
                                            <a:pt x="975850" y="483722"/>
                                            <a:pt x="989148" y="493284"/>
                                            <a:pt x="1010214" y="514350"/>
                                          </a:cubicBezTo>
                                          <a:cubicBezTo>
                                            <a:pt x="1030350" y="594895"/>
                                            <a:pt x="1002784" y="535724"/>
                                            <a:pt x="1134039" y="561975"/>
                                          </a:cubicBezTo>
                                          <a:cubicBezTo>
                                            <a:pt x="1145264" y="564220"/>
                                            <a:pt x="1153820" y="573696"/>
                                            <a:pt x="1162614" y="581025"/>
                                          </a:cubicBezTo>
                                          <a:cubicBezTo>
                                            <a:pt x="1180670" y="596072"/>
                                            <a:pt x="1199535" y="616768"/>
                                            <a:pt x="1210239" y="638175"/>
                                          </a:cubicBezTo>
                                          <a:cubicBezTo>
                                            <a:pt x="1214729" y="647155"/>
                                            <a:pt x="1216589" y="657225"/>
                                            <a:pt x="1219764" y="666750"/>
                                          </a:cubicBezTo>
                                          <a:cubicBezTo>
                                            <a:pt x="1216589" y="688975"/>
                                            <a:pt x="1219357" y="712909"/>
                                            <a:pt x="1210239" y="733425"/>
                                          </a:cubicBezTo>
                                          <a:cubicBezTo>
                                            <a:pt x="1205590" y="743886"/>
                                            <a:pt x="1185916" y="741846"/>
                                            <a:pt x="1181664" y="752475"/>
                                          </a:cubicBezTo>
                                          <a:cubicBezTo>
                                            <a:pt x="1177935" y="761797"/>
                                            <a:pt x="1183019" y="775214"/>
                                            <a:pt x="1191189" y="781050"/>
                                          </a:cubicBezTo>
                                          <a:cubicBezTo>
                                            <a:pt x="1207529" y="792722"/>
                                            <a:pt x="1248339" y="800100"/>
                                            <a:pt x="1248339" y="800100"/>
                                          </a:cubicBezTo>
                                          <a:cubicBezTo>
                                            <a:pt x="1254689" y="809625"/>
                                            <a:pt x="1267389" y="817227"/>
                                            <a:pt x="1267389" y="828675"/>
                                          </a:cubicBezTo>
                                          <a:cubicBezTo>
                                            <a:pt x="1267389" y="861054"/>
                                            <a:pt x="1248339" y="923925"/>
                                            <a:pt x="1248339" y="923925"/>
                                          </a:cubicBezTo>
                                          <a:cubicBezTo>
                                            <a:pt x="1251514" y="962025"/>
                                            <a:pt x="1246620" y="1001684"/>
                                            <a:pt x="1257864" y="1038225"/>
                                          </a:cubicBezTo>
                                          <a:cubicBezTo>
                                            <a:pt x="1260817" y="1047821"/>
                                            <a:pt x="1277211" y="1043795"/>
                                            <a:pt x="1286439" y="1047750"/>
                                          </a:cubicBezTo>
                                          <a:cubicBezTo>
                                            <a:pt x="1299490" y="1053343"/>
                                            <a:pt x="1312363" y="1059495"/>
                                            <a:pt x="1324539" y="1066800"/>
                                          </a:cubicBezTo>
                                          <a:cubicBezTo>
                                            <a:pt x="1332318" y="1071468"/>
                                            <a:pt x="1406764" y="1120450"/>
                                            <a:pt x="1419789" y="1133475"/>
                                          </a:cubicBezTo>
                                          <a:cubicBezTo>
                                            <a:pt x="1427884" y="1141570"/>
                                            <a:pt x="1429900" y="1154899"/>
                                            <a:pt x="1438839" y="1162050"/>
                                          </a:cubicBezTo>
                                          <a:cubicBezTo>
                                            <a:pt x="1446679" y="1168322"/>
                                            <a:pt x="1458434" y="1167085"/>
                                            <a:pt x="1467414" y="1171575"/>
                                          </a:cubicBezTo>
                                          <a:cubicBezTo>
                                            <a:pt x="1533193" y="1204464"/>
                                            <a:pt x="1454795" y="1180326"/>
                                            <a:pt x="1534089" y="1200150"/>
                                          </a:cubicBezTo>
                                          <a:cubicBezTo>
                                            <a:pt x="1543614" y="1209675"/>
                                            <a:pt x="1552316" y="1220101"/>
                                            <a:pt x="1562664" y="1228725"/>
                                          </a:cubicBezTo>
                                          <a:cubicBezTo>
                                            <a:pt x="1642230" y="1295030"/>
                                            <a:pt x="1536332" y="1192868"/>
                                            <a:pt x="1619814" y="1276350"/>
                                          </a:cubicBezTo>
                                          <a:cubicBezTo>
                                            <a:pt x="1622989" y="1285875"/>
                                            <a:pt x="1624849" y="1295945"/>
                                            <a:pt x="1629339" y="1304925"/>
                                          </a:cubicBezTo>
                                          <a:cubicBezTo>
                                            <a:pt x="1634459" y="1315164"/>
                                            <a:pt x="1645613" y="1322394"/>
                                            <a:pt x="1648389" y="1333500"/>
                                          </a:cubicBezTo>
                                          <a:cubicBezTo>
                                            <a:pt x="1656038" y="1364094"/>
                                            <a:pt x="1652454" y="1422359"/>
                                            <a:pt x="1667439" y="1457325"/>
                                          </a:cubicBezTo>
                                          <a:cubicBezTo>
                                            <a:pt x="1722832" y="1586576"/>
                                            <a:pt x="1655878" y="1394068"/>
                                            <a:pt x="1696014" y="1514475"/>
                                          </a:cubicBezTo>
                                          <a:cubicBezTo>
                                            <a:pt x="1692839" y="1527175"/>
                                            <a:pt x="1692343" y="1540866"/>
                                            <a:pt x="1686489" y="1552575"/>
                                          </a:cubicBezTo>
                                          <a:cubicBezTo>
                                            <a:pt x="1620985" y="1683583"/>
                                            <a:pt x="1665204" y="1559279"/>
                                            <a:pt x="1638864" y="1638300"/>
                                          </a:cubicBezTo>
                                          <a:cubicBezTo>
                                            <a:pt x="1642039" y="1651000"/>
                                            <a:pt x="1644627" y="1663861"/>
                                            <a:pt x="1648389" y="1676400"/>
                                          </a:cubicBezTo>
                                          <a:cubicBezTo>
                                            <a:pt x="1654159" y="1695634"/>
                                            <a:pt x="1667439" y="1733550"/>
                                            <a:pt x="1667439" y="1733550"/>
                                          </a:cubicBezTo>
                                          <a:cubicBezTo>
                                            <a:pt x="1648236" y="1848771"/>
                                            <a:pt x="1679404" y="1776301"/>
                                            <a:pt x="1495989" y="1800225"/>
                                          </a:cubicBezTo>
                                          <a:cubicBezTo>
                                            <a:pt x="1476077" y="1802822"/>
                                            <a:pt x="1438839" y="1819275"/>
                                            <a:pt x="1438839" y="1819275"/>
                                          </a:cubicBezTo>
                                          <a:cubicBezTo>
                                            <a:pt x="1419789" y="1816100"/>
                                            <a:pt x="1398457" y="1819332"/>
                                            <a:pt x="1381689" y="1809750"/>
                                          </a:cubicBezTo>
                                          <a:cubicBezTo>
                                            <a:pt x="1372972" y="1804769"/>
                                            <a:pt x="1372164" y="1791215"/>
                                            <a:pt x="1372164" y="1781175"/>
                                          </a:cubicBezTo>
                                          <a:cubicBezTo>
                                            <a:pt x="1372164" y="1683387"/>
                                            <a:pt x="1363713" y="1703901"/>
                                            <a:pt x="1410264" y="1657350"/>
                                          </a:cubicBezTo>
                                          <a:cubicBezTo>
                                            <a:pt x="1413439" y="1647825"/>
                                            <a:pt x="1419789" y="1638815"/>
                                            <a:pt x="1419789" y="1628775"/>
                                          </a:cubicBezTo>
                                          <a:cubicBezTo>
                                            <a:pt x="1419789" y="1601795"/>
                                            <a:pt x="1409076" y="1553178"/>
                                            <a:pt x="1400739" y="1524000"/>
                                          </a:cubicBezTo>
                                          <a:cubicBezTo>
                                            <a:pt x="1397981" y="1514346"/>
                                            <a:pt x="1395704" y="1504405"/>
                                            <a:pt x="1391214" y="1495425"/>
                                          </a:cubicBezTo>
                                          <a:cubicBezTo>
                                            <a:pt x="1386094" y="1485186"/>
                                            <a:pt x="1382103" y="1472530"/>
                                            <a:pt x="1372164" y="1466850"/>
                                          </a:cubicBezTo>
                                          <a:cubicBezTo>
                                            <a:pt x="1358108" y="1458818"/>
                                            <a:pt x="1340343" y="1460837"/>
                                            <a:pt x="1324539" y="1457325"/>
                                          </a:cubicBezTo>
                                          <a:cubicBezTo>
                                            <a:pt x="1311760" y="1454485"/>
                                            <a:pt x="1298978" y="1451562"/>
                                            <a:pt x="1286439" y="1447800"/>
                                          </a:cubicBezTo>
                                          <a:cubicBezTo>
                                            <a:pt x="1267205" y="1442030"/>
                                            <a:pt x="1229289" y="1428750"/>
                                            <a:pt x="1229289" y="1428750"/>
                                          </a:cubicBezTo>
                                          <a:cubicBezTo>
                                            <a:pt x="1207064" y="1431925"/>
                                            <a:pt x="1184629" y="1433872"/>
                                            <a:pt x="1162614" y="1438275"/>
                                          </a:cubicBezTo>
                                          <a:cubicBezTo>
                                            <a:pt x="1152769" y="1440244"/>
                                            <a:pt x="1141139" y="1440700"/>
                                            <a:pt x="1134039" y="1447800"/>
                                          </a:cubicBezTo>
                                          <a:cubicBezTo>
                                            <a:pt x="1123999" y="1457840"/>
                                            <a:pt x="1119975" y="1472605"/>
                                            <a:pt x="1114989" y="1485900"/>
                                          </a:cubicBezTo>
                                          <a:cubicBezTo>
                                            <a:pt x="1107656" y="1505456"/>
                                            <a:pt x="1100465" y="1553520"/>
                                            <a:pt x="1095939" y="1571625"/>
                                          </a:cubicBezTo>
                                          <a:cubicBezTo>
                                            <a:pt x="1093504" y="1581365"/>
                                            <a:pt x="1089589" y="1590675"/>
                                            <a:pt x="1086414" y="1600200"/>
                                          </a:cubicBezTo>
                                          <a:cubicBezTo>
                                            <a:pt x="1038789" y="1597025"/>
                                            <a:pt x="991007" y="1595672"/>
                                            <a:pt x="943539" y="1590675"/>
                                          </a:cubicBezTo>
                                          <a:cubicBezTo>
                                            <a:pt x="872043" y="1583149"/>
                                            <a:pt x="938835" y="1572801"/>
                                            <a:pt x="867339" y="1590675"/>
                                          </a:cubicBezTo>
                                          <a:cubicBezTo>
                                            <a:pt x="846845" y="1652158"/>
                                            <a:pt x="875894" y="1591214"/>
                                            <a:pt x="791139" y="1638300"/>
                                          </a:cubicBezTo>
                                          <a:cubicBezTo>
                                            <a:pt x="751391" y="1660382"/>
                                            <a:pt x="788978" y="1669036"/>
                                            <a:pt x="762564" y="1695450"/>
                                          </a:cubicBezTo>
                                          <a:cubicBezTo>
                                            <a:pt x="746375" y="1711639"/>
                                            <a:pt x="721603" y="1717361"/>
                                            <a:pt x="705414" y="1733550"/>
                                          </a:cubicBezTo>
                                          <a:cubicBezTo>
                                            <a:pt x="668744" y="1770220"/>
                                            <a:pt x="688047" y="1754653"/>
                                            <a:pt x="648264" y="1781175"/>
                                          </a:cubicBezTo>
                                          <a:cubicBezTo>
                                            <a:pt x="641914" y="1790700"/>
                                            <a:pt x="634894" y="1799811"/>
                                            <a:pt x="629214" y="1809750"/>
                                          </a:cubicBezTo>
                                          <a:cubicBezTo>
                                            <a:pt x="622169" y="1822078"/>
                                            <a:pt x="620204" y="1837810"/>
                                            <a:pt x="610164" y="1847850"/>
                                          </a:cubicBezTo>
                                          <a:cubicBezTo>
                                            <a:pt x="603064" y="1854950"/>
                                            <a:pt x="591114" y="1854200"/>
                                            <a:pt x="581589" y="1857375"/>
                                          </a:cubicBezTo>
                                          <a:cubicBezTo>
                                            <a:pt x="538500" y="1846603"/>
                                            <a:pt x="543985" y="1859358"/>
                                            <a:pt x="533964" y="1819275"/>
                                          </a:cubicBezTo>
                                          <a:cubicBezTo>
                                            <a:pt x="533194" y="1816195"/>
                                            <a:pt x="548251" y="1881187"/>
                                            <a:pt x="543489" y="1847850"/>
                                          </a:cubicBezTo>
                                          <a:close/>
                                        </a:path>
                                      </a:pathLst>
                                    </a:custGeom>
                                    <a:solidFill>
                                      <a:schemeClr val="accent3">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a:solidFill>
                                            <a:sysClr val="windowText" lastClr="000000"/>
                                          </a:solidFill>
                                        </a:rPr>
                                        <a:t>Azua</a:t>
                                      </a:r>
                                    </a:p>
                                    <a:p>
                                      <a:pPr algn="ctr"/>
                                      <a:r>
                                        <a:rPr lang="es-ES" sz="1100" b="1">
                                          <a:solidFill>
                                            <a:sysClr val="windowText" lastClr="000000"/>
                                          </a:solidFill>
                                        </a:rPr>
                                        <a:t>23,248</a:t>
                                      </a:r>
                                    </a:p>
                                    <a:p>
                                      <a:pPr algn="ctr"/>
                                      <a:r>
                                        <a:rPr lang="es-ES" sz="1100" b="1">
                                          <a:solidFill>
                                            <a:sysClr val="windowText" lastClr="000000"/>
                                          </a:solidFill>
                                        </a:rPr>
                                        <a:t>0.8%</a:t>
                                      </a:r>
                                    </a:p>
                                  </xdr:txBody>
                                </xdr:sp>
                              </xdr:grpSp>
                              <xdr:sp macro="" textlink="">
                                <xdr:nvSpPr>
                                  <xdr:cNvPr id="40" name="Forma libre 39"/>
                                  <xdr:cNvSpPr/>
                                </xdr:nvSpPr>
                                <xdr:spPr>
                                  <a:xfrm>
                                    <a:off x="2486025" y="1371600"/>
                                    <a:ext cx="1543049" cy="1743075"/>
                                  </a:xfrm>
                                  <a:custGeom>
                                    <a:avLst/>
                                    <a:gdLst>
                                      <a:gd name="connsiteX0" fmla="*/ 220571 w 1540090"/>
                                      <a:gd name="connsiteY0" fmla="*/ 666750 h 1666875"/>
                                      <a:gd name="connsiteX1" fmla="*/ 268196 w 1540090"/>
                                      <a:gd name="connsiteY1" fmla="*/ 657225 h 1666875"/>
                                      <a:gd name="connsiteX2" fmla="*/ 306296 w 1540090"/>
                                      <a:gd name="connsiteY2" fmla="*/ 628650 h 1666875"/>
                                      <a:gd name="connsiteX3" fmla="*/ 334871 w 1540090"/>
                                      <a:gd name="connsiteY3" fmla="*/ 609600 h 1666875"/>
                                      <a:gd name="connsiteX4" fmla="*/ 372971 w 1540090"/>
                                      <a:gd name="connsiteY4" fmla="*/ 552450 h 1666875"/>
                                      <a:gd name="connsiteX5" fmla="*/ 392021 w 1540090"/>
                                      <a:gd name="connsiteY5" fmla="*/ 523875 h 1666875"/>
                                      <a:gd name="connsiteX6" fmla="*/ 458696 w 1540090"/>
                                      <a:gd name="connsiteY6" fmla="*/ 504825 h 1666875"/>
                                      <a:gd name="connsiteX7" fmla="*/ 544421 w 1540090"/>
                                      <a:gd name="connsiteY7" fmla="*/ 495300 h 1666875"/>
                                      <a:gd name="connsiteX8" fmla="*/ 563471 w 1540090"/>
                                      <a:gd name="connsiteY8" fmla="*/ 466725 h 1666875"/>
                                      <a:gd name="connsiteX9" fmla="*/ 572996 w 1540090"/>
                                      <a:gd name="connsiteY9" fmla="*/ 438150 h 1666875"/>
                                      <a:gd name="connsiteX10" fmla="*/ 601571 w 1540090"/>
                                      <a:gd name="connsiteY10" fmla="*/ 409575 h 1666875"/>
                                      <a:gd name="connsiteX11" fmla="*/ 658721 w 1540090"/>
                                      <a:gd name="connsiteY11" fmla="*/ 419100 h 1666875"/>
                                      <a:gd name="connsiteX12" fmla="*/ 630146 w 1540090"/>
                                      <a:gd name="connsiteY12" fmla="*/ 276225 h 1666875"/>
                                      <a:gd name="connsiteX13" fmla="*/ 601571 w 1540090"/>
                                      <a:gd name="connsiteY13" fmla="*/ 238125 h 1666875"/>
                                      <a:gd name="connsiteX14" fmla="*/ 544421 w 1540090"/>
                                      <a:gd name="connsiteY14" fmla="*/ 219075 h 1666875"/>
                                      <a:gd name="connsiteX15" fmla="*/ 553946 w 1540090"/>
                                      <a:gd name="connsiteY15" fmla="*/ 190500 h 1666875"/>
                                      <a:gd name="connsiteX16" fmla="*/ 611096 w 1540090"/>
                                      <a:gd name="connsiteY16" fmla="*/ 171450 h 1666875"/>
                                      <a:gd name="connsiteX17" fmla="*/ 677771 w 1540090"/>
                                      <a:gd name="connsiteY17" fmla="*/ 180975 h 1666875"/>
                                      <a:gd name="connsiteX18" fmla="*/ 725396 w 1540090"/>
                                      <a:gd name="connsiteY18" fmla="*/ 85725 h 1666875"/>
                                      <a:gd name="connsiteX19" fmla="*/ 753971 w 1540090"/>
                                      <a:gd name="connsiteY19" fmla="*/ 19050 h 1666875"/>
                                      <a:gd name="connsiteX20" fmla="*/ 811121 w 1540090"/>
                                      <a:gd name="connsiteY20" fmla="*/ 0 h 1666875"/>
                                      <a:gd name="connsiteX21" fmla="*/ 915896 w 1540090"/>
                                      <a:gd name="connsiteY21" fmla="*/ 19050 h 1666875"/>
                                      <a:gd name="connsiteX22" fmla="*/ 944471 w 1540090"/>
                                      <a:gd name="connsiteY22" fmla="*/ 47625 h 1666875"/>
                                      <a:gd name="connsiteX23" fmla="*/ 973046 w 1540090"/>
                                      <a:gd name="connsiteY23" fmla="*/ 66675 h 1666875"/>
                                      <a:gd name="connsiteX24" fmla="*/ 1011146 w 1540090"/>
                                      <a:gd name="connsiteY24" fmla="*/ 57150 h 1666875"/>
                                      <a:gd name="connsiteX25" fmla="*/ 1049246 w 1540090"/>
                                      <a:gd name="connsiteY25" fmla="*/ 38100 h 1666875"/>
                                      <a:gd name="connsiteX26" fmla="*/ 1096871 w 1540090"/>
                                      <a:gd name="connsiteY26" fmla="*/ 47625 h 1666875"/>
                                      <a:gd name="connsiteX27" fmla="*/ 1106396 w 1540090"/>
                                      <a:gd name="connsiteY27" fmla="*/ 152400 h 1666875"/>
                                      <a:gd name="connsiteX28" fmla="*/ 1144496 w 1540090"/>
                                      <a:gd name="connsiteY28" fmla="*/ 95250 h 1666875"/>
                                      <a:gd name="connsiteX29" fmla="*/ 1230221 w 1540090"/>
                                      <a:gd name="connsiteY29" fmla="*/ 104775 h 1666875"/>
                                      <a:gd name="connsiteX30" fmla="*/ 1277846 w 1540090"/>
                                      <a:gd name="connsiteY30" fmla="*/ 190500 h 1666875"/>
                                      <a:gd name="connsiteX31" fmla="*/ 1373096 w 1540090"/>
                                      <a:gd name="connsiteY31" fmla="*/ 342900 h 1666875"/>
                                      <a:gd name="connsiteX32" fmla="*/ 1401671 w 1540090"/>
                                      <a:gd name="connsiteY32" fmla="*/ 352425 h 1666875"/>
                                      <a:gd name="connsiteX33" fmla="*/ 1449296 w 1540090"/>
                                      <a:gd name="connsiteY33" fmla="*/ 419100 h 1666875"/>
                                      <a:gd name="connsiteX34" fmla="*/ 1515971 w 1540090"/>
                                      <a:gd name="connsiteY34" fmla="*/ 504825 h 1666875"/>
                                      <a:gd name="connsiteX35" fmla="*/ 1535021 w 1540090"/>
                                      <a:gd name="connsiteY35" fmla="*/ 561975 h 1666875"/>
                                      <a:gd name="connsiteX36" fmla="*/ 1506446 w 1540090"/>
                                      <a:gd name="connsiteY36" fmla="*/ 581025 h 1666875"/>
                                      <a:gd name="connsiteX37" fmla="*/ 1468346 w 1540090"/>
                                      <a:gd name="connsiteY37" fmla="*/ 590550 h 1666875"/>
                                      <a:gd name="connsiteX38" fmla="*/ 1439771 w 1540090"/>
                                      <a:gd name="connsiteY38" fmla="*/ 600075 h 1666875"/>
                                      <a:gd name="connsiteX39" fmla="*/ 1411196 w 1540090"/>
                                      <a:gd name="connsiteY39" fmla="*/ 628650 h 1666875"/>
                                      <a:gd name="connsiteX40" fmla="*/ 1373096 w 1540090"/>
                                      <a:gd name="connsiteY40" fmla="*/ 742950 h 1666875"/>
                                      <a:gd name="connsiteX41" fmla="*/ 1325471 w 1540090"/>
                                      <a:gd name="connsiteY41" fmla="*/ 733425 h 1666875"/>
                                      <a:gd name="connsiteX42" fmla="*/ 1315946 w 1540090"/>
                                      <a:gd name="connsiteY42" fmla="*/ 704850 h 1666875"/>
                                      <a:gd name="connsiteX43" fmla="*/ 1296896 w 1540090"/>
                                      <a:gd name="connsiteY43" fmla="*/ 676275 h 1666875"/>
                                      <a:gd name="connsiteX44" fmla="*/ 1287371 w 1540090"/>
                                      <a:gd name="connsiteY44" fmla="*/ 647700 h 1666875"/>
                                      <a:gd name="connsiteX45" fmla="*/ 1249271 w 1540090"/>
                                      <a:gd name="connsiteY45" fmla="*/ 628650 h 1666875"/>
                                      <a:gd name="connsiteX46" fmla="*/ 1220696 w 1540090"/>
                                      <a:gd name="connsiteY46" fmla="*/ 600075 h 1666875"/>
                                      <a:gd name="connsiteX47" fmla="*/ 1163546 w 1540090"/>
                                      <a:gd name="connsiteY47" fmla="*/ 609600 h 1666875"/>
                                      <a:gd name="connsiteX48" fmla="*/ 1154021 w 1540090"/>
                                      <a:gd name="connsiteY48" fmla="*/ 638175 h 1666875"/>
                                      <a:gd name="connsiteX49" fmla="*/ 1096871 w 1540090"/>
                                      <a:gd name="connsiteY49" fmla="*/ 657225 h 1666875"/>
                                      <a:gd name="connsiteX50" fmla="*/ 1068296 w 1540090"/>
                                      <a:gd name="connsiteY50" fmla="*/ 666750 h 1666875"/>
                                      <a:gd name="connsiteX51" fmla="*/ 982571 w 1540090"/>
                                      <a:gd name="connsiteY51" fmla="*/ 666750 h 1666875"/>
                                      <a:gd name="connsiteX52" fmla="*/ 1001621 w 1540090"/>
                                      <a:gd name="connsiteY52" fmla="*/ 742950 h 1666875"/>
                                      <a:gd name="connsiteX53" fmla="*/ 1011146 w 1540090"/>
                                      <a:gd name="connsiteY53" fmla="*/ 847725 h 1666875"/>
                                      <a:gd name="connsiteX54" fmla="*/ 1030196 w 1540090"/>
                                      <a:gd name="connsiteY54" fmla="*/ 876300 h 1666875"/>
                                      <a:gd name="connsiteX55" fmla="*/ 1039721 w 1540090"/>
                                      <a:gd name="connsiteY55" fmla="*/ 904875 h 1666875"/>
                                      <a:gd name="connsiteX56" fmla="*/ 953996 w 1540090"/>
                                      <a:gd name="connsiteY56" fmla="*/ 971550 h 1666875"/>
                                      <a:gd name="connsiteX57" fmla="*/ 934946 w 1540090"/>
                                      <a:gd name="connsiteY57" fmla="*/ 1000125 h 1666875"/>
                                      <a:gd name="connsiteX58" fmla="*/ 915896 w 1540090"/>
                                      <a:gd name="connsiteY58" fmla="*/ 1066800 h 1666875"/>
                                      <a:gd name="connsiteX59" fmla="*/ 858746 w 1540090"/>
                                      <a:gd name="connsiteY59" fmla="*/ 1104900 h 1666875"/>
                                      <a:gd name="connsiteX60" fmla="*/ 849221 w 1540090"/>
                                      <a:gd name="connsiteY60" fmla="*/ 1190625 h 1666875"/>
                                      <a:gd name="connsiteX61" fmla="*/ 887321 w 1540090"/>
                                      <a:gd name="connsiteY61" fmla="*/ 1181100 h 1666875"/>
                                      <a:gd name="connsiteX62" fmla="*/ 887321 w 1540090"/>
                                      <a:gd name="connsiteY62" fmla="*/ 1238250 h 1666875"/>
                                      <a:gd name="connsiteX63" fmla="*/ 915896 w 1540090"/>
                                      <a:gd name="connsiteY63" fmla="*/ 1314450 h 1666875"/>
                                      <a:gd name="connsiteX64" fmla="*/ 925421 w 1540090"/>
                                      <a:gd name="connsiteY64" fmla="*/ 1390650 h 1666875"/>
                                      <a:gd name="connsiteX65" fmla="*/ 973046 w 1540090"/>
                                      <a:gd name="connsiteY65" fmla="*/ 1447800 h 1666875"/>
                                      <a:gd name="connsiteX66" fmla="*/ 925421 w 1540090"/>
                                      <a:gd name="connsiteY66" fmla="*/ 1533525 h 1666875"/>
                                      <a:gd name="connsiteX67" fmla="*/ 906371 w 1540090"/>
                                      <a:gd name="connsiteY67" fmla="*/ 1562100 h 1666875"/>
                                      <a:gd name="connsiteX68" fmla="*/ 849221 w 1540090"/>
                                      <a:gd name="connsiteY68" fmla="*/ 1619250 h 1666875"/>
                                      <a:gd name="connsiteX69" fmla="*/ 839696 w 1540090"/>
                                      <a:gd name="connsiteY69" fmla="*/ 1657350 h 1666875"/>
                                      <a:gd name="connsiteX70" fmla="*/ 811121 w 1540090"/>
                                      <a:gd name="connsiteY70" fmla="*/ 1666875 h 1666875"/>
                                      <a:gd name="connsiteX71" fmla="*/ 753971 w 1540090"/>
                                      <a:gd name="connsiteY71" fmla="*/ 1638300 h 1666875"/>
                                      <a:gd name="connsiteX72" fmla="*/ 582521 w 1540090"/>
                                      <a:gd name="connsiteY72" fmla="*/ 1628775 h 1666875"/>
                                      <a:gd name="connsiteX73" fmla="*/ 601571 w 1540090"/>
                                      <a:gd name="connsiteY73" fmla="*/ 1543050 h 1666875"/>
                                      <a:gd name="connsiteX74" fmla="*/ 582521 w 1540090"/>
                                      <a:gd name="connsiteY74" fmla="*/ 1457325 h 1666875"/>
                                      <a:gd name="connsiteX75" fmla="*/ 553946 w 1540090"/>
                                      <a:gd name="connsiteY75" fmla="*/ 1438275 h 1666875"/>
                                      <a:gd name="connsiteX76" fmla="*/ 496796 w 1540090"/>
                                      <a:gd name="connsiteY76" fmla="*/ 1428750 h 1666875"/>
                                      <a:gd name="connsiteX77" fmla="*/ 468221 w 1540090"/>
                                      <a:gd name="connsiteY77" fmla="*/ 1409700 h 1666875"/>
                                      <a:gd name="connsiteX78" fmla="*/ 411071 w 1540090"/>
                                      <a:gd name="connsiteY78" fmla="*/ 1390650 h 1666875"/>
                                      <a:gd name="connsiteX79" fmla="*/ 392021 w 1540090"/>
                                      <a:gd name="connsiteY79" fmla="*/ 1323975 h 1666875"/>
                                      <a:gd name="connsiteX80" fmla="*/ 363446 w 1540090"/>
                                      <a:gd name="connsiteY80" fmla="*/ 1304925 h 1666875"/>
                                      <a:gd name="connsiteX81" fmla="*/ 344396 w 1540090"/>
                                      <a:gd name="connsiteY81" fmla="*/ 1276350 h 1666875"/>
                                      <a:gd name="connsiteX82" fmla="*/ 315821 w 1540090"/>
                                      <a:gd name="connsiteY82" fmla="*/ 1247775 h 1666875"/>
                                      <a:gd name="connsiteX83" fmla="*/ 306296 w 1540090"/>
                                      <a:gd name="connsiteY83" fmla="*/ 1219200 h 1666875"/>
                                      <a:gd name="connsiteX84" fmla="*/ 287246 w 1540090"/>
                                      <a:gd name="connsiteY84" fmla="*/ 1085850 h 1666875"/>
                                      <a:gd name="connsiteX85" fmla="*/ 277721 w 1540090"/>
                                      <a:gd name="connsiteY85" fmla="*/ 1047750 h 1666875"/>
                                      <a:gd name="connsiteX86" fmla="*/ 249146 w 1540090"/>
                                      <a:gd name="connsiteY86" fmla="*/ 1028700 h 1666875"/>
                                      <a:gd name="connsiteX87" fmla="*/ 239621 w 1540090"/>
                                      <a:gd name="connsiteY87" fmla="*/ 942975 h 1666875"/>
                                      <a:gd name="connsiteX88" fmla="*/ 230096 w 1540090"/>
                                      <a:gd name="connsiteY88" fmla="*/ 914400 h 1666875"/>
                                      <a:gd name="connsiteX89" fmla="*/ 201521 w 1540090"/>
                                      <a:gd name="connsiteY89" fmla="*/ 904875 h 1666875"/>
                                      <a:gd name="connsiteX90" fmla="*/ 125321 w 1540090"/>
                                      <a:gd name="connsiteY90" fmla="*/ 885825 h 1666875"/>
                                      <a:gd name="connsiteX91" fmla="*/ 106271 w 1540090"/>
                                      <a:gd name="connsiteY91" fmla="*/ 857250 h 1666875"/>
                                      <a:gd name="connsiteX92" fmla="*/ 49121 w 1540090"/>
                                      <a:gd name="connsiteY92" fmla="*/ 828675 h 1666875"/>
                                      <a:gd name="connsiteX93" fmla="*/ 20546 w 1540090"/>
                                      <a:gd name="connsiteY93" fmla="*/ 809625 h 1666875"/>
                                      <a:gd name="connsiteX94" fmla="*/ 11021 w 1540090"/>
                                      <a:gd name="connsiteY94" fmla="*/ 695325 h 1666875"/>
                                      <a:gd name="connsiteX95" fmla="*/ 68171 w 1540090"/>
                                      <a:gd name="connsiteY95" fmla="*/ 666750 h 1666875"/>
                                      <a:gd name="connsiteX96" fmla="*/ 315821 w 1540090"/>
                                      <a:gd name="connsiteY96" fmla="*/ 647700 h 1666875"/>
                                      <a:gd name="connsiteX97" fmla="*/ 325346 w 1540090"/>
                                      <a:gd name="connsiteY97" fmla="*/ 619125 h 16668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Lst>
                                    <a:rect l="l" t="t" r="r" b="b"/>
                                    <a:pathLst>
                                      <a:path w="1540090" h="1666875">
                                        <a:moveTo>
                                          <a:pt x="220571" y="666750"/>
                                        </a:moveTo>
                                        <a:cubicBezTo>
                                          <a:pt x="236446" y="663575"/>
                                          <a:pt x="253402" y="663800"/>
                                          <a:pt x="268196" y="657225"/>
                                        </a:cubicBezTo>
                                        <a:cubicBezTo>
                                          <a:pt x="282703" y="650778"/>
                                          <a:pt x="293378" y="637877"/>
                                          <a:pt x="306296" y="628650"/>
                                        </a:cubicBezTo>
                                        <a:cubicBezTo>
                                          <a:pt x="315611" y="621996"/>
                                          <a:pt x="325346" y="615950"/>
                                          <a:pt x="334871" y="609600"/>
                                        </a:cubicBezTo>
                                        <a:lnTo>
                                          <a:pt x="372971" y="552450"/>
                                        </a:lnTo>
                                        <a:cubicBezTo>
                                          <a:pt x="379321" y="542925"/>
                                          <a:pt x="381161" y="527495"/>
                                          <a:pt x="392021" y="523875"/>
                                        </a:cubicBezTo>
                                        <a:cubicBezTo>
                                          <a:pt x="413359" y="516762"/>
                                          <a:pt x="436484" y="508242"/>
                                          <a:pt x="458696" y="504825"/>
                                        </a:cubicBezTo>
                                        <a:cubicBezTo>
                                          <a:pt x="487113" y="500453"/>
                                          <a:pt x="515846" y="498475"/>
                                          <a:pt x="544421" y="495300"/>
                                        </a:cubicBezTo>
                                        <a:cubicBezTo>
                                          <a:pt x="550771" y="485775"/>
                                          <a:pt x="558351" y="476964"/>
                                          <a:pt x="563471" y="466725"/>
                                        </a:cubicBezTo>
                                        <a:cubicBezTo>
                                          <a:pt x="567961" y="457745"/>
                                          <a:pt x="567427" y="446504"/>
                                          <a:pt x="572996" y="438150"/>
                                        </a:cubicBezTo>
                                        <a:cubicBezTo>
                                          <a:pt x="580468" y="426942"/>
                                          <a:pt x="592046" y="419100"/>
                                          <a:pt x="601571" y="409575"/>
                                        </a:cubicBezTo>
                                        <a:cubicBezTo>
                                          <a:pt x="620621" y="412750"/>
                                          <a:pt x="650084" y="436374"/>
                                          <a:pt x="658721" y="419100"/>
                                        </a:cubicBezTo>
                                        <a:cubicBezTo>
                                          <a:pt x="677417" y="381708"/>
                                          <a:pt x="652933" y="312684"/>
                                          <a:pt x="630146" y="276225"/>
                                        </a:cubicBezTo>
                                        <a:cubicBezTo>
                                          <a:pt x="621732" y="262763"/>
                                          <a:pt x="614780" y="246931"/>
                                          <a:pt x="601571" y="238125"/>
                                        </a:cubicBezTo>
                                        <a:cubicBezTo>
                                          <a:pt x="584863" y="226986"/>
                                          <a:pt x="544421" y="219075"/>
                                          <a:pt x="544421" y="219075"/>
                                        </a:cubicBezTo>
                                        <a:cubicBezTo>
                                          <a:pt x="547596" y="209550"/>
                                          <a:pt x="545776" y="196336"/>
                                          <a:pt x="553946" y="190500"/>
                                        </a:cubicBezTo>
                                        <a:cubicBezTo>
                                          <a:pt x="570286" y="178828"/>
                                          <a:pt x="611096" y="171450"/>
                                          <a:pt x="611096" y="171450"/>
                                        </a:cubicBezTo>
                                        <a:cubicBezTo>
                                          <a:pt x="633321" y="174625"/>
                                          <a:pt x="661896" y="196850"/>
                                          <a:pt x="677771" y="180975"/>
                                        </a:cubicBezTo>
                                        <a:cubicBezTo>
                                          <a:pt x="805762" y="52984"/>
                                          <a:pt x="606122" y="115544"/>
                                          <a:pt x="725396" y="85725"/>
                                        </a:cubicBezTo>
                                        <a:cubicBezTo>
                                          <a:pt x="729897" y="67722"/>
                                          <a:pt x="734481" y="31231"/>
                                          <a:pt x="753971" y="19050"/>
                                        </a:cubicBezTo>
                                        <a:cubicBezTo>
                                          <a:pt x="770999" y="8407"/>
                                          <a:pt x="811121" y="0"/>
                                          <a:pt x="811121" y="0"/>
                                        </a:cubicBezTo>
                                        <a:cubicBezTo>
                                          <a:pt x="814352" y="404"/>
                                          <a:pt x="895566" y="5496"/>
                                          <a:pt x="915896" y="19050"/>
                                        </a:cubicBezTo>
                                        <a:cubicBezTo>
                                          <a:pt x="927104" y="26522"/>
                                          <a:pt x="934123" y="39001"/>
                                          <a:pt x="944471" y="47625"/>
                                        </a:cubicBezTo>
                                        <a:cubicBezTo>
                                          <a:pt x="953265" y="54954"/>
                                          <a:pt x="963521" y="60325"/>
                                          <a:pt x="973046" y="66675"/>
                                        </a:cubicBezTo>
                                        <a:cubicBezTo>
                                          <a:pt x="985746" y="63500"/>
                                          <a:pt x="998889" y="61747"/>
                                          <a:pt x="1011146" y="57150"/>
                                        </a:cubicBezTo>
                                        <a:cubicBezTo>
                                          <a:pt x="1024441" y="52164"/>
                                          <a:pt x="1035134" y="39668"/>
                                          <a:pt x="1049246" y="38100"/>
                                        </a:cubicBezTo>
                                        <a:cubicBezTo>
                                          <a:pt x="1065336" y="36312"/>
                                          <a:pt x="1080996" y="44450"/>
                                          <a:pt x="1096871" y="47625"/>
                                        </a:cubicBezTo>
                                        <a:cubicBezTo>
                                          <a:pt x="1100046" y="82550"/>
                                          <a:pt x="1081598" y="127602"/>
                                          <a:pt x="1106396" y="152400"/>
                                        </a:cubicBezTo>
                                        <a:cubicBezTo>
                                          <a:pt x="1122585" y="168589"/>
                                          <a:pt x="1144496" y="95250"/>
                                          <a:pt x="1144496" y="95250"/>
                                        </a:cubicBezTo>
                                        <a:cubicBezTo>
                                          <a:pt x="1173071" y="98425"/>
                                          <a:pt x="1204907" y="91144"/>
                                          <a:pt x="1230221" y="104775"/>
                                        </a:cubicBezTo>
                                        <a:cubicBezTo>
                                          <a:pt x="1256832" y="119104"/>
                                          <a:pt x="1268561" y="162646"/>
                                          <a:pt x="1277846" y="190500"/>
                                        </a:cubicBezTo>
                                        <a:cubicBezTo>
                                          <a:pt x="1290111" y="374482"/>
                                          <a:pt x="1239433" y="320623"/>
                                          <a:pt x="1373096" y="342900"/>
                                        </a:cubicBezTo>
                                        <a:cubicBezTo>
                                          <a:pt x="1383000" y="344551"/>
                                          <a:pt x="1392146" y="349250"/>
                                          <a:pt x="1401671" y="352425"/>
                                        </a:cubicBezTo>
                                        <a:cubicBezTo>
                                          <a:pt x="1423896" y="419100"/>
                                          <a:pt x="1401671" y="403225"/>
                                          <a:pt x="1449296" y="419100"/>
                                        </a:cubicBezTo>
                                        <a:cubicBezTo>
                                          <a:pt x="1494868" y="487458"/>
                                          <a:pt x="1471207" y="460061"/>
                                          <a:pt x="1515971" y="504825"/>
                                        </a:cubicBezTo>
                                        <a:cubicBezTo>
                                          <a:pt x="1522321" y="523875"/>
                                          <a:pt x="1551729" y="550836"/>
                                          <a:pt x="1535021" y="561975"/>
                                        </a:cubicBezTo>
                                        <a:cubicBezTo>
                                          <a:pt x="1525496" y="568325"/>
                                          <a:pt x="1516968" y="576516"/>
                                          <a:pt x="1506446" y="581025"/>
                                        </a:cubicBezTo>
                                        <a:cubicBezTo>
                                          <a:pt x="1494414" y="586182"/>
                                          <a:pt x="1480933" y="586954"/>
                                          <a:pt x="1468346" y="590550"/>
                                        </a:cubicBezTo>
                                        <a:cubicBezTo>
                                          <a:pt x="1458692" y="593308"/>
                                          <a:pt x="1449296" y="596900"/>
                                          <a:pt x="1439771" y="600075"/>
                                        </a:cubicBezTo>
                                        <a:cubicBezTo>
                                          <a:pt x="1430246" y="609600"/>
                                          <a:pt x="1415157" y="615775"/>
                                          <a:pt x="1411196" y="628650"/>
                                        </a:cubicBezTo>
                                        <a:cubicBezTo>
                                          <a:pt x="1372668" y="753867"/>
                                          <a:pt x="1438217" y="699536"/>
                                          <a:pt x="1373096" y="742950"/>
                                        </a:cubicBezTo>
                                        <a:cubicBezTo>
                                          <a:pt x="1357221" y="739775"/>
                                          <a:pt x="1338941" y="742405"/>
                                          <a:pt x="1325471" y="733425"/>
                                        </a:cubicBezTo>
                                        <a:cubicBezTo>
                                          <a:pt x="1317117" y="727856"/>
                                          <a:pt x="1320436" y="713830"/>
                                          <a:pt x="1315946" y="704850"/>
                                        </a:cubicBezTo>
                                        <a:cubicBezTo>
                                          <a:pt x="1310826" y="694611"/>
                                          <a:pt x="1302016" y="686514"/>
                                          <a:pt x="1296896" y="676275"/>
                                        </a:cubicBezTo>
                                        <a:cubicBezTo>
                                          <a:pt x="1292406" y="667295"/>
                                          <a:pt x="1294471" y="654800"/>
                                          <a:pt x="1287371" y="647700"/>
                                        </a:cubicBezTo>
                                        <a:cubicBezTo>
                                          <a:pt x="1277331" y="637660"/>
                                          <a:pt x="1260825" y="636903"/>
                                          <a:pt x="1249271" y="628650"/>
                                        </a:cubicBezTo>
                                        <a:cubicBezTo>
                                          <a:pt x="1238310" y="620820"/>
                                          <a:pt x="1230221" y="609600"/>
                                          <a:pt x="1220696" y="600075"/>
                                        </a:cubicBezTo>
                                        <a:cubicBezTo>
                                          <a:pt x="1201646" y="603250"/>
                                          <a:pt x="1180314" y="600018"/>
                                          <a:pt x="1163546" y="609600"/>
                                        </a:cubicBezTo>
                                        <a:cubicBezTo>
                                          <a:pt x="1154829" y="614581"/>
                                          <a:pt x="1162191" y="632339"/>
                                          <a:pt x="1154021" y="638175"/>
                                        </a:cubicBezTo>
                                        <a:cubicBezTo>
                                          <a:pt x="1137681" y="649847"/>
                                          <a:pt x="1115921" y="650875"/>
                                          <a:pt x="1096871" y="657225"/>
                                        </a:cubicBezTo>
                                        <a:lnTo>
                                          <a:pt x="1068296" y="666750"/>
                                        </a:lnTo>
                                        <a:cubicBezTo>
                                          <a:pt x="1060765" y="665244"/>
                                          <a:pt x="993577" y="644738"/>
                                          <a:pt x="982571" y="666750"/>
                                        </a:cubicBezTo>
                                        <a:cubicBezTo>
                                          <a:pt x="977973" y="675945"/>
                                          <a:pt x="996956" y="728955"/>
                                          <a:pt x="1001621" y="742950"/>
                                        </a:cubicBezTo>
                                        <a:cubicBezTo>
                                          <a:pt x="1004796" y="777875"/>
                                          <a:pt x="1003798" y="813434"/>
                                          <a:pt x="1011146" y="847725"/>
                                        </a:cubicBezTo>
                                        <a:cubicBezTo>
                                          <a:pt x="1013545" y="858919"/>
                                          <a:pt x="1025076" y="866061"/>
                                          <a:pt x="1030196" y="876300"/>
                                        </a:cubicBezTo>
                                        <a:cubicBezTo>
                                          <a:pt x="1034686" y="885280"/>
                                          <a:pt x="1036546" y="895350"/>
                                          <a:pt x="1039721" y="904875"/>
                                        </a:cubicBezTo>
                                        <a:cubicBezTo>
                                          <a:pt x="975471" y="969125"/>
                                          <a:pt x="1008129" y="953506"/>
                                          <a:pt x="953996" y="971550"/>
                                        </a:cubicBezTo>
                                        <a:cubicBezTo>
                                          <a:pt x="947646" y="981075"/>
                                          <a:pt x="939455" y="989603"/>
                                          <a:pt x="934946" y="1000125"/>
                                        </a:cubicBezTo>
                                        <a:cubicBezTo>
                                          <a:pt x="934761" y="1000558"/>
                                          <a:pt x="920530" y="1062166"/>
                                          <a:pt x="915896" y="1066800"/>
                                        </a:cubicBezTo>
                                        <a:cubicBezTo>
                                          <a:pt x="899707" y="1082989"/>
                                          <a:pt x="858746" y="1104900"/>
                                          <a:pt x="858746" y="1104900"/>
                                        </a:cubicBezTo>
                                        <a:cubicBezTo>
                                          <a:pt x="842506" y="1129260"/>
                                          <a:pt x="815000" y="1156404"/>
                                          <a:pt x="849221" y="1190625"/>
                                        </a:cubicBezTo>
                                        <a:cubicBezTo>
                                          <a:pt x="858478" y="1199882"/>
                                          <a:pt x="874621" y="1184275"/>
                                          <a:pt x="887321" y="1181100"/>
                                        </a:cubicBezTo>
                                        <a:cubicBezTo>
                                          <a:pt x="912721" y="1257300"/>
                                          <a:pt x="887321" y="1162050"/>
                                          <a:pt x="887321" y="1238250"/>
                                        </a:cubicBezTo>
                                        <a:cubicBezTo>
                                          <a:pt x="887321" y="1279445"/>
                                          <a:pt x="896188" y="1284889"/>
                                          <a:pt x="915896" y="1314450"/>
                                        </a:cubicBezTo>
                                        <a:cubicBezTo>
                                          <a:pt x="919071" y="1339850"/>
                                          <a:pt x="918686" y="1365954"/>
                                          <a:pt x="925421" y="1390650"/>
                                        </a:cubicBezTo>
                                        <a:cubicBezTo>
                                          <a:pt x="930394" y="1408884"/>
                                          <a:pt x="961733" y="1436487"/>
                                          <a:pt x="973046" y="1447800"/>
                                        </a:cubicBezTo>
                                        <a:cubicBezTo>
                                          <a:pt x="942651" y="1538984"/>
                                          <a:pt x="972948" y="1476493"/>
                                          <a:pt x="925421" y="1533525"/>
                                        </a:cubicBezTo>
                                        <a:cubicBezTo>
                                          <a:pt x="918092" y="1542319"/>
                                          <a:pt x="913976" y="1553544"/>
                                          <a:pt x="906371" y="1562100"/>
                                        </a:cubicBezTo>
                                        <a:cubicBezTo>
                                          <a:pt x="888473" y="1582236"/>
                                          <a:pt x="849221" y="1619250"/>
                                          <a:pt x="849221" y="1619250"/>
                                        </a:cubicBezTo>
                                        <a:cubicBezTo>
                                          <a:pt x="846046" y="1631950"/>
                                          <a:pt x="847874" y="1647128"/>
                                          <a:pt x="839696" y="1657350"/>
                                        </a:cubicBezTo>
                                        <a:cubicBezTo>
                                          <a:pt x="833424" y="1665190"/>
                                          <a:pt x="821161" y="1666875"/>
                                          <a:pt x="811121" y="1666875"/>
                                        </a:cubicBezTo>
                                        <a:cubicBezTo>
                                          <a:pt x="791403" y="1666875"/>
                                          <a:pt x="768418" y="1647932"/>
                                          <a:pt x="753971" y="1638300"/>
                                        </a:cubicBezTo>
                                        <a:cubicBezTo>
                                          <a:pt x="695279" y="1657864"/>
                                          <a:pt x="661348" y="1673819"/>
                                          <a:pt x="582521" y="1628775"/>
                                        </a:cubicBezTo>
                                        <a:cubicBezTo>
                                          <a:pt x="573133" y="1623411"/>
                                          <a:pt x="596629" y="1557876"/>
                                          <a:pt x="601571" y="1543050"/>
                                        </a:cubicBezTo>
                                        <a:cubicBezTo>
                                          <a:pt x="601474" y="1542465"/>
                                          <a:pt x="592394" y="1469666"/>
                                          <a:pt x="582521" y="1457325"/>
                                        </a:cubicBezTo>
                                        <a:cubicBezTo>
                                          <a:pt x="575370" y="1448386"/>
                                          <a:pt x="564806" y="1441895"/>
                                          <a:pt x="553946" y="1438275"/>
                                        </a:cubicBezTo>
                                        <a:cubicBezTo>
                                          <a:pt x="535624" y="1432168"/>
                                          <a:pt x="515846" y="1431925"/>
                                          <a:pt x="496796" y="1428750"/>
                                        </a:cubicBezTo>
                                        <a:cubicBezTo>
                                          <a:pt x="487271" y="1422400"/>
                                          <a:pt x="478682" y="1414349"/>
                                          <a:pt x="468221" y="1409700"/>
                                        </a:cubicBezTo>
                                        <a:cubicBezTo>
                                          <a:pt x="449871" y="1401545"/>
                                          <a:pt x="411071" y="1390650"/>
                                          <a:pt x="411071" y="1390650"/>
                                        </a:cubicBezTo>
                                        <a:cubicBezTo>
                                          <a:pt x="410449" y="1388161"/>
                                          <a:pt x="396990" y="1330186"/>
                                          <a:pt x="392021" y="1323975"/>
                                        </a:cubicBezTo>
                                        <a:cubicBezTo>
                                          <a:pt x="384870" y="1315036"/>
                                          <a:pt x="372971" y="1311275"/>
                                          <a:pt x="363446" y="1304925"/>
                                        </a:cubicBezTo>
                                        <a:cubicBezTo>
                                          <a:pt x="357096" y="1295400"/>
                                          <a:pt x="351725" y="1285144"/>
                                          <a:pt x="344396" y="1276350"/>
                                        </a:cubicBezTo>
                                        <a:cubicBezTo>
                                          <a:pt x="335772" y="1266002"/>
                                          <a:pt x="323293" y="1258983"/>
                                          <a:pt x="315821" y="1247775"/>
                                        </a:cubicBezTo>
                                        <a:cubicBezTo>
                                          <a:pt x="310252" y="1239421"/>
                                          <a:pt x="309471" y="1228725"/>
                                          <a:pt x="306296" y="1219200"/>
                                        </a:cubicBezTo>
                                        <a:cubicBezTo>
                                          <a:pt x="291062" y="1051623"/>
                                          <a:pt x="309235" y="1162812"/>
                                          <a:pt x="287246" y="1085850"/>
                                        </a:cubicBezTo>
                                        <a:cubicBezTo>
                                          <a:pt x="283650" y="1073263"/>
                                          <a:pt x="284983" y="1058642"/>
                                          <a:pt x="277721" y="1047750"/>
                                        </a:cubicBezTo>
                                        <a:cubicBezTo>
                                          <a:pt x="271371" y="1038225"/>
                                          <a:pt x="258671" y="1035050"/>
                                          <a:pt x="249146" y="1028700"/>
                                        </a:cubicBezTo>
                                        <a:cubicBezTo>
                                          <a:pt x="245971" y="1000125"/>
                                          <a:pt x="244348" y="971335"/>
                                          <a:pt x="239621" y="942975"/>
                                        </a:cubicBezTo>
                                        <a:cubicBezTo>
                                          <a:pt x="237970" y="933071"/>
                                          <a:pt x="237196" y="921500"/>
                                          <a:pt x="230096" y="914400"/>
                                        </a:cubicBezTo>
                                        <a:cubicBezTo>
                                          <a:pt x="222996" y="907300"/>
                                          <a:pt x="211207" y="907517"/>
                                          <a:pt x="201521" y="904875"/>
                                        </a:cubicBezTo>
                                        <a:cubicBezTo>
                                          <a:pt x="176262" y="897986"/>
                                          <a:pt x="150721" y="892175"/>
                                          <a:pt x="125321" y="885825"/>
                                        </a:cubicBezTo>
                                        <a:cubicBezTo>
                                          <a:pt x="118971" y="876300"/>
                                          <a:pt x="114366" y="865345"/>
                                          <a:pt x="106271" y="857250"/>
                                        </a:cubicBezTo>
                                        <a:cubicBezTo>
                                          <a:pt x="78974" y="829953"/>
                                          <a:pt x="80109" y="844169"/>
                                          <a:pt x="49121" y="828675"/>
                                        </a:cubicBezTo>
                                        <a:cubicBezTo>
                                          <a:pt x="38882" y="823555"/>
                                          <a:pt x="30071" y="815975"/>
                                          <a:pt x="20546" y="809625"/>
                                        </a:cubicBezTo>
                                        <a:cubicBezTo>
                                          <a:pt x="6058" y="766160"/>
                                          <a:pt x="-12066" y="741499"/>
                                          <a:pt x="11021" y="695325"/>
                                        </a:cubicBezTo>
                                        <a:cubicBezTo>
                                          <a:pt x="16755" y="683858"/>
                                          <a:pt x="56096" y="668360"/>
                                          <a:pt x="68171" y="666750"/>
                                        </a:cubicBezTo>
                                        <a:cubicBezTo>
                                          <a:pt x="98692" y="662681"/>
                                          <a:pt x="293752" y="649276"/>
                                          <a:pt x="315821" y="647700"/>
                                        </a:cubicBezTo>
                                        <a:lnTo>
                                          <a:pt x="325346" y="619125"/>
                                        </a:lnTo>
                                      </a:path>
                                    </a:pathLst>
                                  </a:custGeom>
                                  <a:solidFill>
                                    <a:schemeClr val="accent3">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a:t>La Vega</a:t>
                                    </a:r>
                                  </a:p>
                                  <a:p>
                                    <a:pPr algn="ctr"/>
                                    <a:r>
                                      <a:rPr lang="es-ES" sz="1100" b="1"/>
                                      <a:t>73,940</a:t>
                                    </a:r>
                                  </a:p>
                                  <a:p>
                                    <a:pPr algn="ctr"/>
                                    <a:r>
                                      <a:rPr lang="es-ES" sz="1100" b="1"/>
                                      <a:t>2.5%</a:t>
                                    </a:r>
                                  </a:p>
                                </xdr:txBody>
                              </xdr:sp>
                            </xdr:grpSp>
                            <xdr:sp macro="" textlink="">
                              <xdr:nvSpPr>
                                <xdr:cNvPr id="38" name="Forma libre 37"/>
                                <xdr:cNvSpPr/>
                              </xdr:nvSpPr>
                              <xdr:spPr>
                                <a:xfrm>
                                  <a:off x="3257550" y="590551"/>
                                  <a:ext cx="1304925" cy="962024"/>
                                </a:xfrm>
                                <a:custGeom>
                                  <a:avLst/>
                                  <a:gdLst>
                                    <a:gd name="connsiteX0" fmla="*/ 1201229 w 1239329"/>
                                    <a:gd name="connsiteY0" fmla="*/ 190500 h 988104"/>
                                    <a:gd name="connsiteX1" fmla="*/ 982154 w 1239329"/>
                                    <a:gd name="connsiteY1" fmla="*/ 200025 h 988104"/>
                                    <a:gd name="connsiteX2" fmla="*/ 896429 w 1239329"/>
                                    <a:gd name="connsiteY2" fmla="*/ 171450 h 988104"/>
                                    <a:gd name="connsiteX3" fmla="*/ 839279 w 1239329"/>
                                    <a:gd name="connsiteY3" fmla="*/ 152400 h 988104"/>
                                    <a:gd name="connsiteX4" fmla="*/ 734504 w 1239329"/>
                                    <a:gd name="connsiteY4" fmla="*/ 133350 h 988104"/>
                                    <a:gd name="connsiteX5" fmla="*/ 696404 w 1239329"/>
                                    <a:gd name="connsiteY5" fmla="*/ 123825 h 988104"/>
                                    <a:gd name="connsiteX6" fmla="*/ 648779 w 1239329"/>
                                    <a:gd name="connsiteY6" fmla="*/ 66675 h 988104"/>
                                    <a:gd name="connsiteX7" fmla="*/ 639254 w 1239329"/>
                                    <a:gd name="connsiteY7" fmla="*/ 38100 h 988104"/>
                                    <a:gd name="connsiteX8" fmla="*/ 610679 w 1239329"/>
                                    <a:gd name="connsiteY8" fmla="*/ 19050 h 988104"/>
                                    <a:gd name="connsiteX9" fmla="*/ 553529 w 1239329"/>
                                    <a:gd name="connsiteY9" fmla="*/ 0 h 988104"/>
                                    <a:gd name="connsiteX10" fmla="*/ 544004 w 1239329"/>
                                    <a:gd name="connsiteY10" fmla="*/ 95250 h 988104"/>
                                    <a:gd name="connsiteX11" fmla="*/ 496379 w 1239329"/>
                                    <a:gd name="connsiteY11" fmla="*/ 104775 h 988104"/>
                                    <a:gd name="connsiteX12" fmla="*/ 486854 w 1239329"/>
                                    <a:gd name="connsiteY12" fmla="*/ 133350 h 988104"/>
                                    <a:gd name="connsiteX13" fmla="*/ 420179 w 1239329"/>
                                    <a:gd name="connsiteY13" fmla="*/ 123825 h 988104"/>
                                    <a:gd name="connsiteX14" fmla="*/ 410654 w 1239329"/>
                                    <a:gd name="connsiteY14" fmla="*/ 95250 h 988104"/>
                                    <a:gd name="connsiteX15" fmla="*/ 382079 w 1239329"/>
                                    <a:gd name="connsiteY15" fmla="*/ 114300 h 988104"/>
                                    <a:gd name="connsiteX16" fmla="*/ 343979 w 1239329"/>
                                    <a:gd name="connsiteY16" fmla="*/ 133350 h 988104"/>
                                    <a:gd name="connsiteX17" fmla="*/ 296354 w 1239329"/>
                                    <a:gd name="connsiteY17" fmla="*/ 123825 h 988104"/>
                                    <a:gd name="connsiteX18" fmla="*/ 267779 w 1239329"/>
                                    <a:gd name="connsiteY18" fmla="*/ 114300 h 988104"/>
                                    <a:gd name="connsiteX19" fmla="*/ 258254 w 1239329"/>
                                    <a:gd name="connsiteY19" fmla="*/ 142875 h 988104"/>
                                    <a:gd name="connsiteX20" fmla="*/ 277304 w 1239329"/>
                                    <a:gd name="connsiteY20" fmla="*/ 314325 h 988104"/>
                                    <a:gd name="connsiteX21" fmla="*/ 267779 w 1239329"/>
                                    <a:gd name="connsiteY21" fmla="*/ 381000 h 988104"/>
                                    <a:gd name="connsiteX22" fmla="*/ 229679 w 1239329"/>
                                    <a:gd name="connsiteY22" fmla="*/ 323850 h 988104"/>
                                    <a:gd name="connsiteX23" fmla="*/ 191579 w 1239329"/>
                                    <a:gd name="connsiteY23" fmla="*/ 314325 h 988104"/>
                                    <a:gd name="connsiteX24" fmla="*/ 182054 w 1239329"/>
                                    <a:gd name="connsiteY24" fmla="*/ 400050 h 988104"/>
                                    <a:gd name="connsiteX25" fmla="*/ 172529 w 1239329"/>
                                    <a:gd name="connsiteY25" fmla="*/ 428625 h 988104"/>
                                    <a:gd name="connsiteX26" fmla="*/ 115379 w 1239329"/>
                                    <a:gd name="connsiteY26" fmla="*/ 457200 h 988104"/>
                                    <a:gd name="connsiteX27" fmla="*/ 143954 w 1239329"/>
                                    <a:gd name="connsiteY27" fmla="*/ 476250 h 988104"/>
                                    <a:gd name="connsiteX28" fmla="*/ 124904 w 1239329"/>
                                    <a:gd name="connsiteY28" fmla="*/ 533400 h 988104"/>
                                    <a:gd name="connsiteX29" fmla="*/ 67754 w 1239329"/>
                                    <a:gd name="connsiteY29" fmla="*/ 561975 h 988104"/>
                                    <a:gd name="connsiteX30" fmla="*/ 58229 w 1239329"/>
                                    <a:gd name="connsiteY30" fmla="*/ 657225 h 988104"/>
                                    <a:gd name="connsiteX31" fmla="*/ 48704 w 1239329"/>
                                    <a:gd name="connsiteY31" fmla="*/ 685800 h 988104"/>
                                    <a:gd name="connsiteX32" fmla="*/ 20129 w 1239329"/>
                                    <a:gd name="connsiteY32" fmla="*/ 714375 h 988104"/>
                                    <a:gd name="connsiteX33" fmla="*/ 1079 w 1239329"/>
                                    <a:gd name="connsiteY33" fmla="*/ 771525 h 988104"/>
                                    <a:gd name="connsiteX34" fmla="*/ 10604 w 1239329"/>
                                    <a:gd name="connsiteY34" fmla="*/ 828675 h 988104"/>
                                    <a:gd name="connsiteX35" fmla="*/ 58229 w 1239329"/>
                                    <a:gd name="connsiteY35" fmla="*/ 904875 h 988104"/>
                                    <a:gd name="connsiteX36" fmla="*/ 115379 w 1239329"/>
                                    <a:gd name="connsiteY36" fmla="*/ 895350 h 988104"/>
                                    <a:gd name="connsiteX37" fmla="*/ 143954 w 1239329"/>
                                    <a:gd name="connsiteY37" fmla="*/ 885825 h 988104"/>
                                    <a:gd name="connsiteX38" fmla="*/ 258254 w 1239329"/>
                                    <a:gd name="connsiteY38" fmla="*/ 895350 h 988104"/>
                                    <a:gd name="connsiteX39" fmla="*/ 267779 w 1239329"/>
                                    <a:gd name="connsiteY39" fmla="*/ 981075 h 988104"/>
                                    <a:gd name="connsiteX40" fmla="*/ 324929 w 1239329"/>
                                    <a:gd name="connsiteY40" fmla="*/ 971550 h 988104"/>
                                    <a:gd name="connsiteX41" fmla="*/ 315404 w 1239329"/>
                                    <a:gd name="connsiteY41" fmla="*/ 933450 h 988104"/>
                                    <a:gd name="connsiteX42" fmla="*/ 372554 w 1239329"/>
                                    <a:gd name="connsiteY42" fmla="*/ 904875 h 988104"/>
                                    <a:gd name="connsiteX43" fmla="*/ 429704 w 1239329"/>
                                    <a:gd name="connsiteY43" fmla="*/ 876300 h 988104"/>
                                    <a:gd name="connsiteX44" fmla="*/ 363029 w 1239329"/>
                                    <a:gd name="connsiteY44" fmla="*/ 866775 h 988104"/>
                                    <a:gd name="connsiteX45" fmla="*/ 353504 w 1239329"/>
                                    <a:gd name="connsiteY45" fmla="*/ 800100 h 988104"/>
                                    <a:gd name="connsiteX46" fmla="*/ 391604 w 1239329"/>
                                    <a:gd name="connsiteY46" fmla="*/ 742950 h 988104"/>
                                    <a:gd name="connsiteX47" fmla="*/ 439229 w 1239329"/>
                                    <a:gd name="connsiteY47" fmla="*/ 666750 h 988104"/>
                                    <a:gd name="connsiteX48" fmla="*/ 429704 w 1239329"/>
                                    <a:gd name="connsiteY48" fmla="*/ 552450 h 988104"/>
                                    <a:gd name="connsiteX49" fmla="*/ 410654 w 1239329"/>
                                    <a:gd name="connsiteY49" fmla="*/ 523875 h 988104"/>
                                    <a:gd name="connsiteX50" fmla="*/ 401129 w 1239329"/>
                                    <a:gd name="connsiteY50" fmla="*/ 495300 h 988104"/>
                                    <a:gd name="connsiteX51" fmla="*/ 439229 w 1239329"/>
                                    <a:gd name="connsiteY51" fmla="*/ 400050 h 988104"/>
                                    <a:gd name="connsiteX52" fmla="*/ 467804 w 1239329"/>
                                    <a:gd name="connsiteY52" fmla="*/ 390525 h 988104"/>
                                    <a:gd name="connsiteX53" fmla="*/ 534479 w 1239329"/>
                                    <a:gd name="connsiteY53" fmla="*/ 419100 h 988104"/>
                                    <a:gd name="connsiteX54" fmla="*/ 591629 w 1239329"/>
                                    <a:gd name="connsiteY54" fmla="*/ 457200 h 988104"/>
                                    <a:gd name="connsiteX55" fmla="*/ 648779 w 1239329"/>
                                    <a:gd name="connsiteY55" fmla="*/ 476250 h 988104"/>
                                    <a:gd name="connsiteX56" fmla="*/ 686879 w 1239329"/>
                                    <a:gd name="connsiteY56" fmla="*/ 381000 h 988104"/>
                                    <a:gd name="connsiteX57" fmla="*/ 753554 w 1239329"/>
                                    <a:gd name="connsiteY57" fmla="*/ 400050 h 988104"/>
                                    <a:gd name="connsiteX58" fmla="*/ 1001204 w 1239329"/>
                                    <a:gd name="connsiteY58" fmla="*/ 466725 h 988104"/>
                                    <a:gd name="connsiteX59" fmla="*/ 982154 w 1239329"/>
                                    <a:gd name="connsiteY59" fmla="*/ 438150 h 988104"/>
                                    <a:gd name="connsiteX60" fmla="*/ 972629 w 1239329"/>
                                    <a:gd name="connsiteY60" fmla="*/ 409575 h 988104"/>
                                    <a:gd name="connsiteX61" fmla="*/ 982154 w 1239329"/>
                                    <a:gd name="connsiteY61" fmla="*/ 352425 h 988104"/>
                                    <a:gd name="connsiteX62" fmla="*/ 1086929 w 1239329"/>
                                    <a:gd name="connsiteY62" fmla="*/ 352425 h 988104"/>
                                    <a:gd name="connsiteX63" fmla="*/ 1220279 w 1239329"/>
                                    <a:gd name="connsiteY63" fmla="*/ 314325 h 988104"/>
                                    <a:gd name="connsiteX64" fmla="*/ 1239329 w 1239329"/>
                                    <a:gd name="connsiteY64" fmla="*/ 276225 h 988104"/>
                                    <a:gd name="connsiteX65" fmla="*/ 1201229 w 1239329"/>
                                    <a:gd name="connsiteY65" fmla="*/ 190500 h 98810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Lst>
                                  <a:rect l="l" t="t" r="r" b="b"/>
                                  <a:pathLst>
                                    <a:path w="1239329" h="988104">
                                      <a:moveTo>
                                        <a:pt x="1201229" y="190500"/>
                                      </a:moveTo>
                                      <a:cubicBezTo>
                                        <a:pt x="1158366" y="177800"/>
                                        <a:pt x="1055248" y="200025"/>
                                        <a:pt x="982154" y="200025"/>
                                      </a:cubicBezTo>
                                      <a:cubicBezTo>
                                        <a:pt x="936392" y="200025"/>
                                        <a:pt x="935164" y="186944"/>
                                        <a:pt x="896429" y="171450"/>
                                      </a:cubicBezTo>
                                      <a:cubicBezTo>
                                        <a:pt x="877785" y="163992"/>
                                        <a:pt x="858329" y="158750"/>
                                        <a:pt x="839279" y="152400"/>
                                      </a:cubicBezTo>
                                      <a:cubicBezTo>
                                        <a:pt x="777971" y="131964"/>
                                        <a:pt x="842207" y="151301"/>
                                        <a:pt x="734504" y="133350"/>
                                      </a:cubicBezTo>
                                      <a:cubicBezTo>
                                        <a:pt x="721591" y="131198"/>
                                        <a:pt x="709104" y="127000"/>
                                        <a:pt x="696404" y="123825"/>
                                      </a:cubicBezTo>
                                      <a:cubicBezTo>
                                        <a:pt x="675338" y="102759"/>
                                        <a:pt x="662040" y="93197"/>
                                        <a:pt x="648779" y="66675"/>
                                      </a:cubicBezTo>
                                      <a:cubicBezTo>
                                        <a:pt x="644289" y="57695"/>
                                        <a:pt x="645526" y="45940"/>
                                        <a:pt x="639254" y="38100"/>
                                      </a:cubicBezTo>
                                      <a:cubicBezTo>
                                        <a:pt x="632103" y="29161"/>
                                        <a:pt x="621140" y="23699"/>
                                        <a:pt x="610679" y="19050"/>
                                      </a:cubicBezTo>
                                      <a:cubicBezTo>
                                        <a:pt x="592329" y="10895"/>
                                        <a:pt x="553529" y="0"/>
                                        <a:pt x="553529" y="0"/>
                                      </a:cubicBezTo>
                                      <a:cubicBezTo>
                                        <a:pt x="550354" y="31750"/>
                                        <a:pt x="559283" y="67238"/>
                                        <a:pt x="544004" y="95250"/>
                                      </a:cubicBezTo>
                                      <a:cubicBezTo>
                                        <a:pt x="536252" y="109463"/>
                                        <a:pt x="509849" y="95795"/>
                                        <a:pt x="496379" y="104775"/>
                                      </a:cubicBezTo>
                                      <a:cubicBezTo>
                                        <a:pt x="488025" y="110344"/>
                                        <a:pt x="490029" y="123825"/>
                                        <a:pt x="486854" y="133350"/>
                                      </a:cubicBezTo>
                                      <a:cubicBezTo>
                                        <a:pt x="464629" y="130175"/>
                                        <a:pt x="440259" y="133865"/>
                                        <a:pt x="420179" y="123825"/>
                                      </a:cubicBezTo>
                                      <a:cubicBezTo>
                                        <a:pt x="411199" y="119335"/>
                                        <a:pt x="420394" y="97685"/>
                                        <a:pt x="410654" y="95250"/>
                                      </a:cubicBezTo>
                                      <a:cubicBezTo>
                                        <a:pt x="399548" y="92474"/>
                                        <a:pt x="392018" y="108620"/>
                                        <a:pt x="382079" y="114300"/>
                                      </a:cubicBezTo>
                                      <a:cubicBezTo>
                                        <a:pt x="369751" y="121345"/>
                                        <a:pt x="356679" y="127000"/>
                                        <a:pt x="343979" y="133350"/>
                                      </a:cubicBezTo>
                                      <a:cubicBezTo>
                                        <a:pt x="328104" y="130175"/>
                                        <a:pt x="312060" y="127752"/>
                                        <a:pt x="296354" y="123825"/>
                                      </a:cubicBezTo>
                                      <a:cubicBezTo>
                                        <a:pt x="286614" y="121390"/>
                                        <a:pt x="276759" y="109810"/>
                                        <a:pt x="267779" y="114300"/>
                                      </a:cubicBezTo>
                                      <a:cubicBezTo>
                                        <a:pt x="258799" y="118790"/>
                                        <a:pt x="261429" y="133350"/>
                                        <a:pt x="258254" y="142875"/>
                                      </a:cubicBezTo>
                                      <a:cubicBezTo>
                                        <a:pt x="280729" y="210299"/>
                                        <a:pt x="277304" y="192011"/>
                                        <a:pt x="277304" y="314325"/>
                                      </a:cubicBezTo>
                                      <a:cubicBezTo>
                                        <a:pt x="277304" y="336776"/>
                                        <a:pt x="270954" y="358775"/>
                                        <a:pt x="267779" y="381000"/>
                                      </a:cubicBezTo>
                                      <a:cubicBezTo>
                                        <a:pt x="192591" y="355937"/>
                                        <a:pt x="291570" y="398119"/>
                                        <a:pt x="229679" y="323850"/>
                                      </a:cubicBezTo>
                                      <a:cubicBezTo>
                                        <a:pt x="221298" y="313793"/>
                                        <a:pt x="204279" y="317500"/>
                                        <a:pt x="191579" y="314325"/>
                                      </a:cubicBezTo>
                                      <a:cubicBezTo>
                                        <a:pt x="169354" y="381000"/>
                                        <a:pt x="166179" y="352425"/>
                                        <a:pt x="182054" y="400050"/>
                                      </a:cubicBezTo>
                                      <a:cubicBezTo>
                                        <a:pt x="178879" y="409575"/>
                                        <a:pt x="178801" y="420785"/>
                                        <a:pt x="172529" y="428625"/>
                                      </a:cubicBezTo>
                                      <a:cubicBezTo>
                                        <a:pt x="159100" y="445411"/>
                                        <a:pt x="134203" y="450925"/>
                                        <a:pt x="115379" y="457200"/>
                                      </a:cubicBezTo>
                                      <a:cubicBezTo>
                                        <a:pt x="124904" y="463550"/>
                                        <a:pt x="136803" y="467311"/>
                                        <a:pt x="143954" y="476250"/>
                                      </a:cubicBezTo>
                                      <a:cubicBezTo>
                                        <a:pt x="167191" y="505296"/>
                                        <a:pt x="147897" y="514239"/>
                                        <a:pt x="124904" y="533400"/>
                                      </a:cubicBezTo>
                                      <a:cubicBezTo>
                                        <a:pt x="100285" y="553916"/>
                                        <a:pt x="96393" y="552429"/>
                                        <a:pt x="67754" y="561975"/>
                                      </a:cubicBezTo>
                                      <a:cubicBezTo>
                                        <a:pt x="64579" y="593725"/>
                                        <a:pt x="63081" y="625688"/>
                                        <a:pt x="58229" y="657225"/>
                                      </a:cubicBezTo>
                                      <a:cubicBezTo>
                                        <a:pt x="56702" y="667148"/>
                                        <a:pt x="54273" y="677446"/>
                                        <a:pt x="48704" y="685800"/>
                                      </a:cubicBezTo>
                                      <a:cubicBezTo>
                                        <a:pt x="41232" y="697008"/>
                                        <a:pt x="29654" y="704850"/>
                                        <a:pt x="20129" y="714375"/>
                                      </a:cubicBezTo>
                                      <a:cubicBezTo>
                                        <a:pt x="46322" y="792955"/>
                                        <a:pt x="20105" y="685906"/>
                                        <a:pt x="1079" y="771525"/>
                                      </a:cubicBezTo>
                                      <a:cubicBezTo>
                                        <a:pt x="-3111" y="790378"/>
                                        <a:pt x="5920" y="809939"/>
                                        <a:pt x="10604" y="828675"/>
                                      </a:cubicBezTo>
                                      <a:cubicBezTo>
                                        <a:pt x="26473" y="892151"/>
                                        <a:pt x="16823" y="877271"/>
                                        <a:pt x="58229" y="904875"/>
                                      </a:cubicBezTo>
                                      <a:cubicBezTo>
                                        <a:pt x="77279" y="901700"/>
                                        <a:pt x="96526" y="899540"/>
                                        <a:pt x="115379" y="895350"/>
                                      </a:cubicBezTo>
                                      <a:cubicBezTo>
                                        <a:pt x="125180" y="893172"/>
                                        <a:pt x="133914" y="885825"/>
                                        <a:pt x="143954" y="885825"/>
                                      </a:cubicBezTo>
                                      <a:cubicBezTo>
                                        <a:pt x="182186" y="885825"/>
                                        <a:pt x="220154" y="892175"/>
                                        <a:pt x="258254" y="895350"/>
                                      </a:cubicBezTo>
                                      <a:cubicBezTo>
                                        <a:pt x="261429" y="923925"/>
                                        <a:pt x="248846" y="959438"/>
                                        <a:pt x="267779" y="981075"/>
                                      </a:cubicBezTo>
                                      <a:cubicBezTo>
                                        <a:pt x="280497" y="995609"/>
                                        <a:pt x="311273" y="985206"/>
                                        <a:pt x="324929" y="971550"/>
                                      </a:cubicBezTo>
                                      <a:cubicBezTo>
                                        <a:pt x="334186" y="962293"/>
                                        <a:pt x="318579" y="946150"/>
                                        <a:pt x="315404" y="933450"/>
                                      </a:cubicBezTo>
                                      <a:cubicBezTo>
                                        <a:pt x="397296" y="878855"/>
                                        <a:pt x="293684" y="944310"/>
                                        <a:pt x="372554" y="904875"/>
                                      </a:cubicBezTo>
                                      <a:cubicBezTo>
                                        <a:pt x="446412" y="867946"/>
                                        <a:pt x="357880" y="900241"/>
                                        <a:pt x="429704" y="876300"/>
                                      </a:cubicBezTo>
                                      <a:cubicBezTo>
                                        <a:pt x="407479" y="873125"/>
                                        <a:pt x="383545" y="875893"/>
                                        <a:pt x="363029" y="866775"/>
                                      </a:cubicBezTo>
                                      <a:cubicBezTo>
                                        <a:pt x="334157" y="853943"/>
                                        <a:pt x="344130" y="818847"/>
                                        <a:pt x="353504" y="800100"/>
                                      </a:cubicBezTo>
                                      <a:cubicBezTo>
                                        <a:pt x="363743" y="779622"/>
                                        <a:pt x="384364" y="764670"/>
                                        <a:pt x="391604" y="742950"/>
                                      </a:cubicBezTo>
                                      <a:cubicBezTo>
                                        <a:pt x="414274" y="674940"/>
                                        <a:pt x="393946" y="696939"/>
                                        <a:pt x="439229" y="666750"/>
                                      </a:cubicBezTo>
                                      <a:cubicBezTo>
                                        <a:pt x="436054" y="628650"/>
                                        <a:pt x="437202" y="589940"/>
                                        <a:pt x="429704" y="552450"/>
                                      </a:cubicBezTo>
                                      <a:cubicBezTo>
                                        <a:pt x="427459" y="541225"/>
                                        <a:pt x="415774" y="534114"/>
                                        <a:pt x="410654" y="523875"/>
                                      </a:cubicBezTo>
                                      <a:cubicBezTo>
                                        <a:pt x="406164" y="514895"/>
                                        <a:pt x="404304" y="504825"/>
                                        <a:pt x="401129" y="495300"/>
                                      </a:cubicBezTo>
                                      <a:cubicBezTo>
                                        <a:pt x="409596" y="427567"/>
                                        <a:pt x="390464" y="424433"/>
                                        <a:pt x="439229" y="400050"/>
                                      </a:cubicBezTo>
                                      <a:cubicBezTo>
                                        <a:pt x="448209" y="395560"/>
                                        <a:pt x="458279" y="393700"/>
                                        <a:pt x="467804" y="390525"/>
                                      </a:cubicBezTo>
                                      <a:cubicBezTo>
                                        <a:pt x="571815" y="459866"/>
                                        <a:pt x="411464" y="357593"/>
                                        <a:pt x="534479" y="419100"/>
                                      </a:cubicBezTo>
                                      <a:cubicBezTo>
                                        <a:pt x="554957" y="429339"/>
                                        <a:pt x="569909" y="449960"/>
                                        <a:pt x="591629" y="457200"/>
                                      </a:cubicBezTo>
                                      <a:lnTo>
                                        <a:pt x="648779" y="476250"/>
                                      </a:lnTo>
                                      <a:cubicBezTo>
                                        <a:pt x="650431" y="463038"/>
                                        <a:pt x="641162" y="381000"/>
                                        <a:pt x="686879" y="381000"/>
                                      </a:cubicBezTo>
                                      <a:cubicBezTo>
                                        <a:pt x="709993" y="381000"/>
                                        <a:pt x="731329" y="393700"/>
                                        <a:pt x="753554" y="400050"/>
                                      </a:cubicBezTo>
                                      <a:cubicBezTo>
                                        <a:pt x="771540" y="543938"/>
                                        <a:pt x="741822" y="511835"/>
                                        <a:pt x="1001204" y="466725"/>
                                      </a:cubicBezTo>
                                      <a:cubicBezTo>
                                        <a:pt x="1012482" y="464764"/>
                                        <a:pt x="987274" y="448389"/>
                                        <a:pt x="982154" y="438150"/>
                                      </a:cubicBezTo>
                                      <a:cubicBezTo>
                                        <a:pt x="977664" y="429170"/>
                                        <a:pt x="975804" y="419100"/>
                                        <a:pt x="972629" y="409575"/>
                                      </a:cubicBezTo>
                                      <a:cubicBezTo>
                                        <a:pt x="975804" y="390525"/>
                                        <a:pt x="970929" y="368140"/>
                                        <a:pt x="982154" y="352425"/>
                                      </a:cubicBezTo>
                                      <a:cubicBezTo>
                                        <a:pt x="997401" y="331079"/>
                                        <a:pt x="1083840" y="351984"/>
                                        <a:pt x="1086929" y="352425"/>
                                      </a:cubicBezTo>
                                      <a:cubicBezTo>
                                        <a:pt x="1148019" y="346316"/>
                                        <a:pt x="1181506" y="359560"/>
                                        <a:pt x="1220279" y="314325"/>
                                      </a:cubicBezTo>
                                      <a:cubicBezTo>
                                        <a:pt x="1229520" y="303544"/>
                                        <a:pt x="1232979" y="288925"/>
                                        <a:pt x="1239329" y="276225"/>
                                      </a:cubicBezTo>
                                      <a:cubicBezTo>
                                        <a:pt x="1228457" y="200121"/>
                                        <a:pt x="1244092" y="203200"/>
                                        <a:pt x="1201229" y="190500"/>
                                      </a:cubicBezTo>
                                      <a:close/>
                                    </a:path>
                                  </a:pathLst>
                                </a:cu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ES" sz="1100" b="1"/>
                                </a:p>
                                <a:p>
                                  <a:pPr algn="ctr"/>
                                  <a:r>
                                    <a:rPr lang="es-ES" sz="1100" b="1"/>
                                    <a:t>Espallat</a:t>
                                  </a:r>
                                </a:p>
                                <a:p>
                                  <a:pPr algn="l"/>
                                  <a:r>
                                    <a:rPr lang="es-ES" sz="1100" b="1"/>
                                    <a:t>     47,576</a:t>
                                  </a:r>
                                </a:p>
                                <a:p>
                                  <a:pPr algn="l"/>
                                  <a:r>
                                    <a:rPr lang="es-ES" sz="1100" b="1"/>
                                    <a:t>     1.6%</a:t>
                                  </a:r>
                                </a:p>
                              </xdr:txBody>
                            </xdr:sp>
                          </xdr:grpSp>
                          <xdr:sp macro="" textlink="">
                            <xdr:nvSpPr>
                              <xdr:cNvPr id="36" name="Forma libre 35"/>
                              <xdr:cNvSpPr/>
                            </xdr:nvSpPr>
                            <xdr:spPr>
                              <a:xfrm>
                                <a:off x="3619500" y="3667125"/>
                                <a:ext cx="523875" cy="857250"/>
                              </a:xfrm>
                              <a:custGeom>
                                <a:avLst/>
                                <a:gdLst>
                                  <a:gd name="connsiteX0" fmla="*/ 352425 w 523875"/>
                                  <a:gd name="connsiteY0" fmla="*/ 371475 h 857250"/>
                                  <a:gd name="connsiteX1" fmla="*/ 381000 w 523875"/>
                                  <a:gd name="connsiteY1" fmla="*/ 323850 h 857250"/>
                                  <a:gd name="connsiteX2" fmla="*/ 409575 w 523875"/>
                                  <a:gd name="connsiteY2" fmla="*/ 314325 h 857250"/>
                                  <a:gd name="connsiteX3" fmla="*/ 476250 w 523875"/>
                                  <a:gd name="connsiteY3" fmla="*/ 266700 h 857250"/>
                                  <a:gd name="connsiteX4" fmla="*/ 409575 w 523875"/>
                                  <a:gd name="connsiteY4" fmla="*/ 190500 h 857250"/>
                                  <a:gd name="connsiteX5" fmla="*/ 447675 w 523875"/>
                                  <a:gd name="connsiteY5" fmla="*/ 200025 h 857250"/>
                                  <a:gd name="connsiteX6" fmla="*/ 495300 w 523875"/>
                                  <a:gd name="connsiteY6" fmla="*/ 161925 h 857250"/>
                                  <a:gd name="connsiteX7" fmla="*/ 504825 w 523875"/>
                                  <a:gd name="connsiteY7" fmla="*/ 133350 h 857250"/>
                                  <a:gd name="connsiteX8" fmla="*/ 523875 w 523875"/>
                                  <a:gd name="connsiteY8" fmla="*/ 104775 h 857250"/>
                                  <a:gd name="connsiteX9" fmla="*/ 447675 w 523875"/>
                                  <a:gd name="connsiteY9" fmla="*/ 85725 h 857250"/>
                                  <a:gd name="connsiteX10" fmla="*/ 419100 w 523875"/>
                                  <a:gd name="connsiteY10" fmla="*/ 66675 h 857250"/>
                                  <a:gd name="connsiteX11" fmla="*/ 371475 w 523875"/>
                                  <a:gd name="connsiteY11" fmla="*/ 9525 h 857250"/>
                                  <a:gd name="connsiteX12" fmla="*/ 342900 w 523875"/>
                                  <a:gd name="connsiteY12" fmla="*/ 0 h 857250"/>
                                  <a:gd name="connsiteX13" fmla="*/ 295275 w 523875"/>
                                  <a:gd name="connsiteY13" fmla="*/ 9525 h 857250"/>
                                  <a:gd name="connsiteX14" fmla="*/ 285750 w 523875"/>
                                  <a:gd name="connsiteY14" fmla="*/ 47625 h 857250"/>
                                  <a:gd name="connsiteX15" fmla="*/ 266700 w 523875"/>
                                  <a:gd name="connsiteY15" fmla="*/ 104775 h 857250"/>
                                  <a:gd name="connsiteX16" fmla="*/ 200025 w 523875"/>
                                  <a:gd name="connsiteY16" fmla="*/ 85725 h 857250"/>
                                  <a:gd name="connsiteX17" fmla="*/ 171450 w 523875"/>
                                  <a:gd name="connsiteY17" fmla="*/ 57150 h 857250"/>
                                  <a:gd name="connsiteX18" fmla="*/ 114300 w 523875"/>
                                  <a:gd name="connsiteY18" fmla="*/ 38100 h 857250"/>
                                  <a:gd name="connsiteX19" fmla="*/ 85725 w 523875"/>
                                  <a:gd name="connsiteY19" fmla="*/ 28575 h 857250"/>
                                  <a:gd name="connsiteX20" fmla="*/ 76200 w 523875"/>
                                  <a:gd name="connsiteY20" fmla="*/ 85725 h 857250"/>
                                  <a:gd name="connsiteX21" fmla="*/ 57150 w 523875"/>
                                  <a:gd name="connsiteY21" fmla="*/ 114300 h 857250"/>
                                  <a:gd name="connsiteX22" fmla="*/ 47625 w 523875"/>
                                  <a:gd name="connsiteY22" fmla="*/ 152400 h 857250"/>
                                  <a:gd name="connsiteX23" fmla="*/ 57150 w 523875"/>
                                  <a:gd name="connsiteY23" fmla="*/ 219075 h 857250"/>
                                  <a:gd name="connsiteX24" fmla="*/ 76200 w 523875"/>
                                  <a:gd name="connsiteY24" fmla="*/ 247650 h 857250"/>
                                  <a:gd name="connsiteX25" fmla="*/ 57150 w 523875"/>
                                  <a:gd name="connsiteY25" fmla="*/ 314325 h 857250"/>
                                  <a:gd name="connsiteX26" fmla="*/ 47625 w 523875"/>
                                  <a:gd name="connsiteY26" fmla="*/ 361950 h 857250"/>
                                  <a:gd name="connsiteX27" fmla="*/ 9525 w 523875"/>
                                  <a:gd name="connsiteY27" fmla="*/ 419100 h 857250"/>
                                  <a:gd name="connsiteX28" fmla="*/ 0 w 523875"/>
                                  <a:gd name="connsiteY28" fmla="*/ 447675 h 857250"/>
                                  <a:gd name="connsiteX29" fmla="*/ 38100 w 523875"/>
                                  <a:gd name="connsiteY29" fmla="*/ 571500 h 857250"/>
                                  <a:gd name="connsiteX30" fmla="*/ 66675 w 523875"/>
                                  <a:gd name="connsiteY30" fmla="*/ 590550 h 857250"/>
                                  <a:gd name="connsiteX31" fmla="*/ 76200 w 523875"/>
                                  <a:gd name="connsiteY31" fmla="*/ 714375 h 857250"/>
                                  <a:gd name="connsiteX32" fmla="*/ 104775 w 523875"/>
                                  <a:gd name="connsiteY32" fmla="*/ 781050 h 857250"/>
                                  <a:gd name="connsiteX33" fmla="*/ 114300 w 523875"/>
                                  <a:gd name="connsiteY33" fmla="*/ 809625 h 857250"/>
                                  <a:gd name="connsiteX34" fmla="*/ 142875 w 523875"/>
                                  <a:gd name="connsiteY34" fmla="*/ 838200 h 857250"/>
                                  <a:gd name="connsiteX35" fmla="*/ 209550 w 523875"/>
                                  <a:gd name="connsiteY35" fmla="*/ 857250 h 857250"/>
                                  <a:gd name="connsiteX36" fmla="*/ 219075 w 523875"/>
                                  <a:gd name="connsiteY36" fmla="*/ 828675 h 857250"/>
                                  <a:gd name="connsiteX37" fmla="*/ 219075 w 523875"/>
                                  <a:gd name="connsiteY37" fmla="*/ 742950 h 857250"/>
                                  <a:gd name="connsiteX38" fmla="*/ 257175 w 523875"/>
                                  <a:gd name="connsiteY38" fmla="*/ 723900 h 857250"/>
                                  <a:gd name="connsiteX39" fmla="*/ 266700 w 523875"/>
                                  <a:gd name="connsiteY39" fmla="*/ 685800 h 857250"/>
                                  <a:gd name="connsiteX40" fmla="*/ 276225 w 523875"/>
                                  <a:gd name="connsiteY40" fmla="*/ 619125 h 857250"/>
                                  <a:gd name="connsiteX41" fmla="*/ 314325 w 523875"/>
                                  <a:gd name="connsiteY41" fmla="*/ 533400 h 857250"/>
                                  <a:gd name="connsiteX42" fmla="*/ 352425 w 523875"/>
                                  <a:gd name="connsiteY42" fmla="*/ 485775 h 857250"/>
                                  <a:gd name="connsiteX43" fmla="*/ 361950 w 523875"/>
                                  <a:gd name="connsiteY43" fmla="*/ 457200 h 857250"/>
                                  <a:gd name="connsiteX44" fmla="*/ 352425 w 523875"/>
                                  <a:gd name="connsiteY44" fmla="*/ 400050 h 857250"/>
                                  <a:gd name="connsiteX45" fmla="*/ 352425 w 523875"/>
                                  <a:gd name="connsiteY45" fmla="*/ 371475 h 8572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523875" h="857250">
                                    <a:moveTo>
                                      <a:pt x="352425" y="371475"/>
                                    </a:moveTo>
                                    <a:cubicBezTo>
                                      <a:pt x="357188" y="358775"/>
                                      <a:pt x="367909" y="336941"/>
                                      <a:pt x="381000" y="323850"/>
                                    </a:cubicBezTo>
                                    <a:cubicBezTo>
                                      <a:pt x="388100" y="316750"/>
                                      <a:pt x="400595" y="318815"/>
                                      <a:pt x="409575" y="314325"/>
                                    </a:cubicBezTo>
                                    <a:cubicBezTo>
                                      <a:pt x="423503" y="307361"/>
                                      <a:pt x="467621" y="273172"/>
                                      <a:pt x="476250" y="266700"/>
                                    </a:cubicBezTo>
                                    <a:cubicBezTo>
                                      <a:pt x="388341" y="222746"/>
                                      <a:pt x="393162" y="256150"/>
                                      <a:pt x="409575" y="190500"/>
                                    </a:cubicBezTo>
                                    <a:cubicBezTo>
                                      <a:pt x="422275" y="193675"/>
                                      <a:pt x="434584" y="200025"/>
                                      <a:pt x="447675" y="200025"/>
                                    </a:cubicBezTo>
                                    <a:cubicBezTo>
                                      <a:pt x="475139" y="200025"/>
                                      <a:pt x="484329" y="183866"/>
                                      <a:pt x="495300" y="161925"/>
                                    </a:cubicBezTo>
                                    <a:cubicBezTo>
                                      <a:pt x="499790" y="152945"/>
                                      <a:pt x="500335" y="142330"/>
                                      <a:pt x="504825" y="133350"/>
                                    </a:cubicBezTo>
                                    <a:cubicBezTo>
                                      <a:pt x="509945" y="123111"/>
                                      <a:pt x="517525" y="114300"/>
                                      <a:pt x="523875" y="104775"/>
                                    </a:cubicBezTo>
                                    <a:cubicBezTo>
                                      <a:pt x="504381" y="46294"/>
                                      <a:pt x="530705" y="94028"/>
                                      <a:pt x="447675" y="85725"/>
                                    </a:cubicBezTo>
                                    <a:cubicBezTo>
                                      <a:pt x="436284" y="84586"/>
                                      <a:pt x="428625" y="73025"/>
                                      <a:pt x="419100" y="66675"/>
                                    </a:cubicBezTo>
                                    <a:cubicBezTo>
                                      <a:pt x="405043" y="45590"/>
                                      <a:pt x="393477" y="24193"/>
                                      <a:pt x="371475" y="9525"/>
                                    </a:cubicBezTo>
                                    <a:cubicBezTo>
                                      <a:pt x="363121" y="3956"/>
                                      <a:pt x="352425" y="3175"/>
                                      <a:pt x="342900" y="0"/>
                                    </a:cubicBezTo>
                                    <a:cubicBezTo>
                                      <a:pt x="327025" y="3175"/>
                                      <a:pt x="307712" y="-839"/>
                                      <a:pt x="295275" y="9525"/>
                                    </a:cubicBezTo>
                                    <a:cubicBezTo>
                                      <a:pt x="285218" y="17906"/>
                                      <a:pt x="289512" y="35086"/>
                                      <a:pt x="285750" y="47625"/>
                                    </a:cubicBezTo>
                                    <a:cubicBezTo>
                                      <a:pt x="279980" y="66859"/>
                                      <a:pt x="266700" y="104775"/>
                                      <a:pt x="266700" y="104775"/>
                                    </a:cubicBezTo>
                                    <a:cubicBezTo>
                                      <a:pt x="261619" y="103505"/>
                                      <a:pt x="208224" y="91191"/>
                                      <a:pt x="200025" y="85725"/>
                                    </a:cubicBezTo>
                                    <a:cubicBezTo>
                                      <a:pt x="188817" y="78253"/>
                                      <a:pt x="183225" y="63692"/>
                                      <a:pt x="171450" y="57150"/>
                                    </a:cubicBezTo>
                                    <a:cubicBezTo>
                                      <a:pt x="153897" y="47398"/>
                                      <a:pt x="133350" y="44450"/>
                                      <a:pt x="114300" y="38100"/>
                                    </a:cubicBezTo>
                                    <a:lnTo>
                                      <a:pt x="85725" y="28575"/>
                                    </a:lnTo>
                                    <a:cubicBezTo>
                                      <a:pt x="82550" y="47625"/>
                                      <a:pt x="82307" y="67403"/>
                                      <a:pt x="76200" y="85725"/>
                                    </a:cubicBezTo>
                                    <a:cubicBezTo>
                                      <a:pt x="72580" y="96585"/>
                                      <a:pt x="61659" y="103778"/>
                                      <a:pt x="57150" y="114300"/>
                                    </a:cubicBezTo>
                                    <a:cubicBezTo>
                                      <a:pt x="51993" y="126332"/>
                                      <a:pt x="50800" y="139700"/>
                                      <a:pt x="47625" y="152400"/>
                                    </a:cubicBezTo>
                                    <a:cubicBezTo>
                                      <a:pt x="50800" y="174625"/>
                                      <a:pt x="50699" y="197571"/>
                                      <a:pt x="57150" y="219075"/>
                                    </a:cubicBezTo>
                                    <a:cubicBezTo>
                                      <a:pt x="60439" y="230040"/>
                                      <a:pt x="74581" y="236317"/>
                                      <a:pt x="76200" y="247650"/>
                                    </a:cubicBezTo>
                                    <a:cubicBezTo>
                                      <a:pt x="77820" y="258988"/>
                                      <a:pt x="60399" y="301327"/>
                                      <a:pt x="57150" y="314325"/>
                                    </a:cubicBezTo>
                                    <a:cubicBezTo>
                                      <a:pt x="53223" y="330031"/>
                                      <a:pt x="54324" y="347212"/>
                                      <a:pt x="47625" y="361950"/>
                                    </a:cubicBezTo>
                                    <a:cubicBezTo>
                                      <a:pt x="38151" y="382793"/>
                                      <a:pt x="16765" y="397380"/>
                                      <a:pt x="9525" y="419100"/>
                                    </a:cubicBezTo>
                                    <a:lnTo>
                                      <a:pt x="0" y="447675"/>
                                    </a:lnTo>
                                    <a:cubicBezTo>
                                      <a:pt x="8663" y="534304"/>
                                      <a:pt x="-12108" y="529660"/>
                                      <a:pt x="38100" y="571500"/>
                                    </a:cubicBezTo>
                                    <a:cubicBezTo>
                                      <a:pt x="46894" y="578829"/>
                                      <a:pt x="57150" y="584200"/>
                                      <a:pt x="66675" y="590550"/>
                                    </a:cubicBezTo>
                                    <a:cubicBezTo>
                                      <a:pt x="107250" y="651413"/>
                                      <a:pt x="76200" y="591738"/>
                                      <a:pt x="76200" y="714375"/>
                                    </a:cubicBezTo>
                                    <a:cubicBezTo>
                                      <a:pt x="76200" y="754022"/>
                                      <a:pt x="89221" y="749942"/>
                                      <a:pt x="104775" y="781050"/>
                                    </a:cubicBezTo>
                                    <a:cubicBezTo>
                                      <a:pt x="109265" y="790030"/>
                                      <a:pt x="108731" y="801271"/>
                                      <a:pt x="114300" y="809625"/>
                                    </a:cubicBezTo>
                                    <a:cubicBezTo>
                                      <a:pt x="121772" y="820833"/>
                                      <a:pt x="131667" y="830728"/>
                                      <a:pt x="142875" y="838200"/>
                                    </a:cubicBezTo>
                                    <a:cubicBezTo>
                                      <a:pt x="151074" y="843666"/>
                                      <a:pt x="204469" y="855980"/>
                                      <a:pt x="209550" y="857250"/>
                                    </a:cubicBezTo>
                                    <a:cubicBezTo>
                                      <a:pt x="212725" y="847725"/>
                                      <a:pt x="219075" y="838715"/>
                                      <a:pt x="219075" y="828675"/>
                                    </a:cubicBezTo>
                                    <a:cubicBezTo>
                                      <a:pt x="219075" y="782330"/>
                                      <a:pt x="177830" y="808942"/>
                                      <a:pt x="219075" y="742950"/>
                                    </a:cubicBezTo>
                                    <a:cubicBezTo>
                                      <a:pt x="226600" y="730909"/>
                                      <a:pt x="244475" y="730250"/>
                                      <a:pt x="257175" y="723900"/>
                                    </a:cubicBezTo>
                                    <a:cubicBezTo>
                                      <a:pt x="260350" y="711200"/>
                                      <a:pt x="264358" y="698680"/>
                                      <a:pt x="266700" y="685800"/>
                                    </a:cubicBezTo>
                                    <a:cubicBezTo>
                                      <a:pt x="270716" y="663711"/>
                                      <a:pt x="271177" y="641001"/>
                                      <a:pt x="276225" y="619125"/>
                                    </a:cubicBezTo>
                                    <a:cubicBezTo>
                                      <a:pt x="297288" y="527852"/>
                                      <a:pt x="285052" y="591945"/>
                                      <a:pt x="314325" y="533400"/>
                                    </a:cubicBezTo>
                                    <a:cubicBezTo>
                                      <a:pt x="337329" y="487392"/>
                                      <a:pt x="304255" y="517888"/>
                                      <a:pt x="352425" y="485775"/>
                                    </a:cubicBezTo>
                                    <a:cubicBezTo>
                                      <a:pt x="355600" y="476250"/>
                                      <a:pt x="361950" y="467240"/>
                                      <a:pt x="361950" y="457200"/>
                                    </a:cubicBezTo>
                                    <a:cubicBezTo>
                                      <a:pt x="361950" y="437887"/>
                                      <a:pt x="354820" y="419214"/>
                                      <a:pt x="352425" y="400050"/>
                                    </a:cubicBezTo>
                                    <a:cubicBezTo>
                                      <a:pt x="351637" y="393749"/>
                                      <a:pt x="347662" y="384175"/>
                                      <a:pt x="352425" y="371475"/>
                                    </a:cubicBezTo>
                                    <a:close/>
                                  </a:path>
                                </a:pathLst>
                              </a:custGeom>
                              <a:solidFill>
                                <a:schemeClr val="accent3">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000">
                                    <a:solidFill>
                                      <a:sysClr val="windowText" lastClr="000000"/>
                                    </a:solidFill>
                                  </a:rPr>
                                  <a:t>Hnas.</a:t>
                                </a:r>
                                <a:r>
                                  <a:rPr lang="es-ES" sz="1000" baseline="0">
                                    <a:solidFill>
                                      <a:sysClr val="windowText" lastClr="000000"/>
                                    </a:solidFill>
                                  </a:rPr>
                                  <a:t> Mirabal</a:t>
                                </a:r>
                              </a:p>
                              <a:p>
                                <a:pPr algn="ctr"/>
                                <a:r>
                                  <a:rPr lang="es-ES" sz="1000" baseline="0">
                                    <a:solidFill>
                                      <a:sysClr val="windowText" lastClr="000000"/>
                                    </a:solidFill>
                                  </a:rPr>
                                  <a:t>11,647</a:t>
                                </a:r>
                              </a:p>
                              <a:p>
                                <a:pPr algn="ctr"/>
                                <a:r>
                                  <a:rPr lang="es-ES" sz="1000" baseline="0">
                                    <a:solidFill>
                                      <a:sysClr val="windowText" lastClr="000000"/>
                                    </a:solidFill>
                                  </a:rPr>
                                  <a:t>0.4%</a:t>
                                </a:r>
                                <a:endParaRPr lang="es-ES" sz="1000">
                                  <a:solidFill>
                                    <a:sysClr val="windowText" lastClr="000000"/>
                                  </a:solidFill>
                                </a:endParaRPr>
                              </a:p>
                            </xdr:txBody>
                          </xdr:sp>
                        </xdr:grpSp>
                        <xdr:sp macro="" textlink="">
                          <xdr:nvSpPr>
                            <xdr:cNvPr id="33" name="Forma libre 32"/>
                            <xdr:cNvSpPr/>
                          </xdr:nvSpPr>
                          <xdr:spPr>
                            <a:xfrm>
                              <a:off x="3342277" y="3570569"/>
                              <a:ext cx="963023" cy="782356"/>
                            </a:xfrm>
                            <a:custGeom>
                              <a:avLst/>
                              <a:gdLst>
                                <a:gd name="connsiteX0" fmla="*/ 201023 w 963023"/>
                                <a:gd name="connsiteY0" fmla="*/ 525181 h 782356"/>
                                <a:gd name="connsiteX1" fmla="*/ 220073 w 963023"/>
                                <a:gd name="connsiteY1" fmla="*/ 477556 h 782356"/>
                                <a:gd name="connsiteX2" fmla="*/ 239123 w 963023"/>
                                <a:gd name="connsiteY2" fmla="*/ 334681 h 782356"/>
                                <a:gd name="connsiteX3" fmla="*/ 286748 w 963023"/>
                                <a:gd name="connsiteY3" fmla="*/ 277531 h 782356"/>
                                <a:gd name="connsiteX4" fmla="*/ 277223 w 963023"/>
                                <a:gd name="connsiteY4" fmla="*/ 248956 h 782356"/>
                                <a:gd name="connsiteX5" fmla="*/ 258173 w 963023"/>
                                <a:gd name="connsiteY5" fmla="*/ 220381 h 782356"/>
                                <a:gd name="connsiteX6" fmla="*/ 305798 w 963023"/>
                                <a:gd name="connsiteY6" fmla="*/ 172756 h 782356"/>
                                <a:gd name="connsiteX7" fmla="*/ 315323 w 963023"/>
                                <a:gd name="connsiteY7" fmla="*/ 144181 h 782356"/>
                                <a:gd name="connsiteX8" fmla="*/ 372473 w 963023"/>
                                <a:gd name="connsiteY8" fmla="*/ 106081 h 782356"/>
                                <a:gd name="connsiteX9" fmla="*/ 401048 w 963023"/>
                                <a:gd name="connsiteY9" fmla="*/ 87031 h 782356"/>
                                <a:gd name="connsiteX10" fmla="*/ 448673 w 963023"/>
                                <a:gd name="connsiteY10" fmla="*/ 77506 h 782356"/>
                                <a:gd name="connsiteX11" fmla="*/ 524873 w 963023"/>
                                <a:gd name="connsiteY11" fmla="*/ 39406 h 782356"/>
                                <a:gd name="connsiteX12" fmla="*/ 572498 w 963023"/>
                                <a:gd name="connsiteY12" fmla="*/ 1306 h 782356"/>
                                <a:gd name="connsiteX13" fmla="*/ 601073 w 963023"/>
                                <a:gd name="connsiteY13" fmla="*/ 29881 h 782356"/>
                                <a:gd name="connsiteX14" fmla="*/ 696323 w 963023"/>
                                <a:gd name="connsiteY14" fmla="*/ 48931 h 782356"/>
                                <a:gd name="connsiteX15" fmla="*/ 724898 w 963023"/>
                                <a:gd name="connsiteY15" fmla="*/ 125131 h 782356"/>
                                <a:gd name="connsiteX16" fmla="*/ 782048 w 963023"/>
                                <a:gd name="connsiteY16" fmla="*/ 163231 h 782356"/>
                                <a:gd name="connsiteX17" fmla="*/ 810623 w 963023"/>
                                <a:gd name="connsiteY17" fmla="*/ 182281 h 782356"/>
                                <a:gd name="connsiteX18" fmla="*/ 801098 w 963023"/>
                                <a:gd name="connsiteY18" fmla="*/ 229906 h 782356"/>
                                <a:gd name="connsiteX19" fmla="*/ 743948 w 963023"/>
                                <a:gd name="connsiteY19" fmla="*/ 258481 h 782356"/>
                                <a:gd name="connsiteX20" fmla="*/ 743948 w 963023"/>
                                <a:gd name="connsiteY20" fmla="*/ 372781 h 782356"/>
                                <a:gd name="connsiteX21" fmla="*/ 772523 w 963023"/>
                                <a:gd name="connsiteY21" fmla="*/ 382306 h 782356"/>
                                <a:gd name="connsiteX22" fmla="*/ 801098 w 963023"/>
                                <a:gd name="connsiteY22" fmla="*/ 401356 h 782356"/>
                                <a:gd name="connsiteX23" fmla="*/ 839198 w 963023"/>
                                <a:gd name="connsiteY23" fmla="*/ 468031 h 782356"/>
                                <a:gd name="connsiteX24" fmla="*/ 867773 w 963023"/>
                                <a:gd name="connsiteY24" fmla="*/ 525181 h 782356"/>
                                <a:gd name="connsiteX25" fmla="*/ 896348 w 963023"/>
                                <a:gd name="connsiteY25" fmla="*/ 534706 h 782356"/>
                                <a:gd name="connsiteX26" fmla="*/ 934448 w 963023"/>
                                <a:gd name="connsiteY26" fmla="*/ 553756 h 782356"/>
                                <a:gd name="connsiteX27" fmla="*/ 924923 w 963023"/>
                                <a:gd name="connsiteY27" fmla="*/ 610906 h 782356"/>
                                <a:gd name="connsiteX28" fmla="*/ 963023 w 963023"/>
                                <a:gd name="connsiteY28" fmla="*/ 687106 h 782356"/>
                                <a:gd name="connsiteX29" fmla="*/ 705848 w 963023"/>
                                <a:gd name="connsiteY29" fmla="*/ 687106 h 782356"/>
                                <a:gd name="connsiteX30" fmla="*/ 648698 w 963023"/>
                                <a:gd name="connsiteY30" fmla="*/ 696631 h 782356"/>
                                <a:gd name="connsiteX31" fmla="*/ 610598 w 963023"/>
                                <a:gd name="connsiteY31" fmla="*/ 715681 h 782356"/>
                                <a:gd name="connsiteX32" fmla="*/ 505823 w 963023"/>
                                <a:gd name="connsiteY32" fmla="*/ 687106 h 782356"/>
                                <a:gd name="connsiteX33" fmla="*/ 401048 w 963023"/>
                                <a:gd name="connsiteY33" fmla="*/ 696631 h 782356"/>
                                <a:gd name="connsiteX34" fmla="*/ 343898 w 963023"/>
                                <a:gd name="connsiteY34" fmla="*/ 715681 h 782356"/>
                                <a:gd name="connsiteX35" fmla="*/ 277223 w 963023"/>
                                <a:gd name="connsiteY35" fmla="*/ 734731 h 782356"/>
                                <a:gd name="connsiteX36" fmla="*/ 248648 w 963023"/>
                                <a:gd name="connsiteY36" fmla="*/ 744256 h 782356"/>
                                <a:gd name="connsiteX37" fmla="*/ 191498 w 963023"/>
                                <a:gd name="connsiteY37" fmla="*/ 782356 h 782356"/>
                                <a:gd name="connsiteX38" fmla="*/ 134348 w 963023"/>
                                <a:gd name="connsiteY38" fmla="*/ 772831 h 782356"/>
                                <a:gd name="connsiteX39" fmla="*/ 115298 w 963023"/>
                                <a:gd name="connsiteY39" fmla="*/ 744256 h 782356"/>
                                <a:gd name="connsiteX40" fmla="*/ 20048 w 963023"/>
                                <a:gd name="connsiteY40" fmla="*/ 734731 h 782356"/>
                                <a:gd name="connsiteX41" fmla="*/ 29573 w 963023"/>
                                <a:gd name="connsiteY41" fmla="*/ 687106 h 782356"/>
                                <a:gd name="connsiteX42" fmla="*/ 115298 w 963023"/>
                                <a:gd name="connsiteY42" fmla="*/ 725206 h 782356"/>
                                <a:gd name="connsiteX43" fmla="*/ 143873 w 963023"/>
                                <a:gd name="connsiteY43" fmla="*/ 734731 h 782356"/>
                                <a:gd name="connsiteX44" fmla="*/ 172448 w 963023"/>
                                <a:gd name="connsiteY44" fmla="*/ 725206 h 782356"/>
                                <a:gd name="connsiteX45" fmla="*/ 162923 w 963023"/>
                                <a:gd name="connsiteY45" fmla="*/ 668056 h 782356"/>
                                <a:gd name="connsiteX46" fmla="*/ 134348 w 963023"/>
                                <a:gd name="connsiteY46" fmla="*/ 658531 h 782356"/>
                                <a:gd name="connsiteX47" fmla="*/ 39098 w 963023"/>
                                <a:gd name="connsiteY47" fmla="*/ 582331 h 782356"/>
                                <a:gd name="connsiteX48" fmla="*/ 29573 w 963023"/>
                                <a:gd name="connsiteY48" fmla="*/ 553756 h 782356"/>
                                <a:gd name="connsiteX49" fmla="*/ 58148 w 963023"/>
                                <a:gd name="connsiteY49" fmla="*/ 534706 h 782356"/>
                                <a:gd name="connsiteX50" fmla="*/ 172448 w 963023"/>
                                <a:gd name="connsiteY50" fmla="*/ 525181 h 782356"/>
                                <a:gd name="connsiteX51" fmla="*/ 201023 w 963023"/>
                                <a:gd name="connsiteY51" fmla="*/ 515656 h 782356"/>
                                <a:gd name="connsiteX52" fmla="*/ 220073 w 963023"/>
                                <a:gd name="connsiteY52" fmla="*/ 468031 h 7823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Lst>
                              <a:rect l="l" t="t" r="r" b="b"/>
                              <a:pathLst>
                                <a:path w="963023" h="782356">
                                  <a:moveTo>
                                    <a:pt x="201023" y="525181"/>
                                  </a:moveTo>
                                  <a:cubicBezTo>
                                    <a:pt x="207373" y="509306"/>
                                    <a:pt x="215574" y="494051"/>
                                    <a:pt x="220073" y="477556"/>
                                  </a:cubicBezTo>
                                  <a:cubicBezTo>
                                    <a:pt x="252026" y="360395"/>
                                    <a:pt x="201113" y="486719"/>
                                    <a:pt x="239123" y="334681"/>
                                  </a:cubicBezTo>
                                  <a:cubicBezTo>
                                    <a:pt x="243543" y="317000"/>
                                    <a:pt x="276085" y="288194"/>
                                    <a:pt x="286748" y="277531"/>
                                  </a:cubicBezTo>
                                  <a:cubicBezTo>
                                    <a:pt x="283573" y="268006"/>
                                    <a:pt x="281713" y="257936"/>
                                    <a:pt x="277223" y="248956"/>
                                  </a:cubicBezTo>
                                  <a:cubicBezTo>
                                    <a:pt x="272103" y="238717"/>
                                    <a:pt x="258173" y="231829"/>
                                    <a:pt x="258173" y="220381"/>
                                  </a:cubicBezTo>
                                  <a:cubicBezTo>
                                    <a:pt x="258173" y="199214"/>
                                    <a:pt x="293098" y="181223"/>
                                    <a:pt x="305798" y="172756"/>
                                  </a:cubicBezTo>
                                  <a:cubicBezTo>
                                    <a:pt x="308973" y="163231"/>
                                    <a:pt x="315323" y="154221"/>
                                    <a:pt x="315323" y="144181"/>
                                  </a:cubicBezTo>
                                  <a:cubicBezTo>
                                    <a:pt x="315323" y="91933"/>
                                    <a:pt x="258685" y="122336"/>
                                    <a:pt x="372473" y="106081"/>
                                  </a:cubicBezTo>
                                  <a:cubicBezTo>
                                    <a:pt x="381998" y="99731"/>
                                    <a:pt x="390329" y="91051"/>
                                    <a:pt x="401048" y="87031"/>
                                  </a:cubicBezTo>
                                  <a:cubicBezTo>
                                    <a:pt x="416207" y="81347"/>
                                    <a:pt x="434193" y="84746"/>
                                    <a:pt x="448673" y="77506"/>
                                  </a:cubicBezTo>
                                  <a:cubicBezTo>
                                    <a:pt x="555400" y="24142"/>
                                    <a:pt x="383871" y="67606"/>
                                    <a:pt x="524873" y="39406"/>
                                  </a:cubicBezTo>
                                  <a:cubicBezTo>
                                    <a:pt x="533142" y="27002"/>
                                    <a:pt x="547403" y="-7059"/>
                                    <a:pt x="572498" y="1306"/>
                                  </a:cubicBezTo>
                                  <a:cubicBezTo>
                                    <a:pt x="585277" y="5566"/>
                                    <a:pt x="589865" y="22409"/>
                                    <a:pt x="601073" y="29881"/>
                                  </a:cubicBezTo>
                                  <a:cubicBezTo>
                                    <a:pt x="619209" y="41972"/>
                                    <a:pt x="690676" y="48124"/>
                                    <a:pt x="696323" y="48931"/>
                                  </a:cubicBezTo>
                                  <a:cubicBezTo>
                                    <a:pt x="702087" y="77750"/>
                                    <a:pt x="701115" y="104321"/>
                                    <a:pt x="724898" y="125131"/>
                                  </a:cubicBezTo>
                                  <a:cubicBezTo>
                                    <a:pt x="742128" y="140208"/>
                                    <a:pt x="762998" y="150531"/>
                                    <a:pt x="782048" y="163231"/>
                                  </a:cubicBezTo>
                                  <a:lnTo>
                                    <a:pt x="810623" y="182281"/>
                                  </a:lnTo>
                                  <a:cubicBezTo>
                                    <a:pt x="807448" y="198156"/>
                                    <a:pt x="809130" y="215850"/>
                                    <a:pt x="801098" y="229906"/>
                                  </a:cubicBezTo>
                                  <a:cubicBezTo>
                                    <a:pt x="792409" y="245112"/>
                                    <a:pt x="758615" y="253592"/>
                                    <a:pt x="743948" y="258481"/>
                                  </a:cubicBezTo>
                                  <a:cubicBezTo>
                                    <a:pt x="729720" y="301166"/>
                                    <a:pt x="720747" y="314779"/>
                                    <a:pt x="743948" y="372781"/>
                                  </a:cubicBezTo>
                                  <a:cubicBezTo>
                                    <a:pt x="747677" y="382103"/>
                                    <a:pt x="763543" y="377816"/>
                                    <a:pt x="772523" y="382306"/>
                                  </a:cubicBezTo>
                                  <a:cubicBezTo>
                                    <a:pt x="782762" y="387426"/>
                                    <a:pt x="791573" y="395006"/>
                                    <a:pt x="801098" y="401356"/>
                                  </a:cubicBezTo>
                                  <a:cubicBezTo>
                                    <a:pt x="822118" y="506454"/>
                                    <a:pt x="790612" y="407299"/>
                                    <a:pt x="839198" y="468031"/>
                                  </a:cubicBezTo>
                                  <a:cubicBezTo>
                                    <a:pt x="869874" y="506376"/>
                                    <a:pt x="823165" y="489495"/>
                                    <a:pt x="867773" y="525181"/>
                                  </a:cubicBezTo>
                                  <a:cubicBezTo>
                                    <a:pt x="875613" y="531453"/>
                                    <a:pt x="887120" y="530751"/>
                                    <a:pt x="896348" y="534706"/>
                                  </a:cubicBezTo>
                                  <a:cubicBezTo>
                                    <a:pt x="909399" y="540299"/>
                                    <a:pt x="921748" y="547406"/>
                                    <a:pt x="934448" y="553756"/>
                                  </a:cubicBezTo>
                                  <a:cubicBezTo>
                                    <a:pt x="959469" y="628819"/>
                                    <a:pt x="936002" y="533355"/>
                                    <a:pt x="924923" y="610906"/>
                                  </a:cubicBezTo>
                                  <a:cubicBezTo>
                                    <a:pt x="920643" y="640867"/>
                                    <a:pt x="948004" y="667080"/>
                                    <a:pt x="963023" y="687106"/>
                                  </a:cubicBezTo>
                                  <a:cubicBezTo>
                                    <a:pt x="858169" y="722057"/>
                                    <a:pt x="974308" y="687106"/>
                                    <a:pt x="705848" y="687106"/>
                                  </a:cubicBezTo>
                                  <a:cubicBezTo>
                                    <a:pt x="686535" y="687106"/>
                                    <a:pt x="667748" y="693456"/>
                                    <a:pt x="648698" y="696631"/>
                                  </a:cubicBezTo>
                                  <a:cubicBezTo>
                                    <a:pt x="635998" y="702981"/>
                                    <a:pt x="624748" y="714502"/>
                                    <a:pt x="610598" y="715681"/>
                                  </a:cubicBezTo>
                                  <a:cubicBezTo>
                                    <a:pt x="547361" y="720951"/>
                                    <a:pt x="544819" y="713104"/>
                                    <a:pt x="505823" y="687106"/>
                                  </a:cubicBezTo>
                                  <a:cubicBezTo>
                                    <a:pt x="470898" y="690281"/>
                                    <a:pt x="435583" y="690537"/>
                                    <a:pt x="401048" y="696631"/>
                                  </a:cubicBezTo>
                                  <a:cubicBezTo>
                                    <a:pt x="381273" y="700121"/>
                                    <a:pt x="362948" y="709331"/>
                                    <a:pt x="343898" y="715681"/>
                                  </a:cubicBezTo>
                                  <a:cubicBezTo>
                                    <a:pt x="275385" y="738519"/>
                                    <a:pt x="360944" y="710811"/>
                                    <a:pt x="277223" y="734731"/>
                                  </a:cubicBezTo>
                                  <a:cubicBezTo>
                                    <a:pt x="267569" y="737489"/>
                                    <a:pt x="257425" y="739380"/>
                                    <a:pt x="248648" y="744256"/>
                                  </a:cubicBezTo>
                                  <a:cubicBezTo>
                                    <a:pt x="228634" y="755375"/>
                                    <a:pt x="191498" y="782356"/>
                                    <a:pt x="191498" y="782356"/>
                                  </a:cubicBezTo>
                                  <a:cubicBezTo>
                                    <a:pt x="172448" y="779181"/>
                                    <a:pt x="151622" y="781468"/>
                                    <a:pt x="134348" y="772831"/>
                                  </a:cubicBezTo>
                                  <a:cubicBezTo>
                                    <a:pt x="124109" y="767711"/>
                                    <a:pt x="126158" y="747876"/>
                                    <a:pt x="115298" y="744256"/>
                                  </a:cubicBezTo>
                                  <a:cubicBezTo>
                                    <a:pt x="85027" y="734166"/>
                                    <a:pt x="51798" y="737906"/>
                                    <a:pt x="20048" y="734731"/>
                                  </a:cubicBezTo>
                                  <a:cubicBezTo>
                                    <a:pt x="11581" y="722031"/>
                                    <a:pt x="-25460" y="687106"/>
                                    <a:pt x="29573" y="687106"/>
                                  </a:cubicBezTo>
                                  <a:cubicBezTo>
                                    <a:pt x="78720" y="687106"/>
                                    <a:pt x="80769" y="707941"/>
                                    <a:pt x="115298" y="725206"/>
                                  </a:cubicBezTo>
                                  <a:cubicBezTo>
                                    <a:pt x="124278" y="729696"/>
                                    <a:pt x="134348" y="731556"/>
                                    <a:pt x="143873" y="734731"/>
                                  </a:cubicBezTo>
                                  <a:cubicBezTo>
                                    <a:pt x="153398" y="731556"/>
                                    <a:pt x="165348" y="732306"/>
                                    <a:pt x="172448" y="725206"/>
                                  </a:cubicBezTo>
                                  <a:cubicBezTo>
                                    <a:pt x="191802" y="705852"/>
                                    <a:pt x="180464" y="682088"/>
                                    <a:pt x="162923" y="668056"/>
                                  </a:cubicBezTo>
                                  <a:cubicBezTo>
                                    <a:pt x="155083" y="661784"/>
                                    <a:pt x="143873" y="661706"/>
                                    <a:pt x="134348" y="658531"/>
                                  </a:cubicBezTo>
                                  <a:cubicBezTo>
                                    <a:pt x="67158" y="591341"/>
                                    <a:pt x="101295" y="613429"/>
                                    <a:pt x="39098" y="582331"/>
                                  </a:cubicBezTo>
                                  <a:cubicBezTo>
                                    <a:pt x="35923" y="572806"/>
                                    <a:pt x="25844" y="563078"/>
                                    <a:pt x="29573" y="553756"/>
                                  </a:cubicBezTo>
                                  <a:cubicBezTo>
                                    <a:pt x="33825" y="543127"/>
                                    <a:pt x="46923" y="536951"/>
                                    <a:pt x="58148" y="534706"/>
                                  </a:cubicBezTo>
                                  <a:cubicBezTo>
                                    <a:pt x="95638" y="527208"/>
                                    <a:pt x="134348" y="528356"/>
                                    <a:pt x="172448" y="525181"/>
                                  </a:cubicBezTo>
                                  <a:cubicBezTo>
                                    <a:pt x="181973" y="522006"/>
                                    <a:pt x="193183" y="521928"/>
                                    <a:pt x="201023" y="515656"/>
                                  </a:cubicBezTo>
                                  <a:cubicBezTo>
                                    <a:pt x="223595" y="497598"/>
                                    <a:pt x="220073" y="489764"/>
                                    <a:pt x="220073" y="468031"/>
                                  </a:cubicBezTo>
                                </a:path>
                              </a:pathLst>
                            </a:custGeom>
                            <a:solidFill>
                              <a:schemeClr val="accent3">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a:solidFill>
                                    <a:sysClr val="windowText" lastClr="000000"/>
                                  </a:solidFill>
                                </a:rPr>
                                <a:t>Peravia</a:t>
                              </a:r>
                            </a:p>
                            <a:p>
                              <a:pPr algn="ctr"/>
                              <a:r>
                                <a:rPr lang="es-ES" sz="1100" b="1">
                                  <a:solidFill>
                                    <a:sysClr val="windowText" lastClr="000000"/>
                                  </a:solidFill>
                                </a:rPr>
                                <a:t>25,818</a:t>
                              </a:r>
                            </a:p>
                            <a:p>
                              <a:pPr algn="ctr"/>
                              <a:r>
                                <a:rPr lang="es-ES" sz="1100" b="1">
                                  <a:solidFill>
                                    <a:sysClr val="windowText" lastClr="000000"/>
                                  </a:solidFill>
                                </a:rPr>
                                <a:t>0.9%</a:t>
                              </a:r>
                            </a:p>
                          </xdr:txBody>
                        </xdr:sp>
                        <xdr:sp macro="" textlink="">
                          <xdr:nvSpPr>
                            <xdr:cNvPr id="34" name="Forma libre 33"/>
                            <xdr:cNvSpPr/>
                          </xdr:nvSpPr>
                          <xdr:spPr>
                            <a:xfrm>
                              <a:off x="3076575" y="2828925"/>
                              <a:ext cx="866775" cy="952500"/>
                            </a:xfrm>
                            <a:custGeom>
                              <a:avLst/>
                              <a:gdLst>
                                <a:gd name="connsiteX0" fmla="*/ 866775 w 866775"/>
                                <a:gd name="connsiteY0" fmla="*/ 190500 h 952500"/>
                                <a:gd name="connsiteX1" fmla="*/ 771525 w 866775"/>
                                <a:gd name="connsiteY1" fmla="*/ 180975 h 952500"/>
                                <a:gd name="connsiteX2" fmla="*/ 762000 w 866775"/>
                                <a:gd name="connsiteY2" fmla="*/ 152400 h 952500"/>
                                <a:gd name="connsiteX3" fmla="*/ 742950 w 866775"/>
                                <a:gd name="connsiteY3" fmla="*/ 123825 h 952500"/>
                                <a:gd name="connsiteX4" fmla="*/ 714375 w 866775"/>
                                <a:gd name="connsiteY4" fmla="*/ 114300 h 952500"/>
                                <a:gd name="connsiteX5" fmla="*/ 685800 w 866775"/>
                                <a:gd name="connsiteY5" fmla="*/ 95250 h 952500"/>
                                <a:gd name="connsiteX6" fmla="*/ 666750 w 866775"/>
                                <a:gd name="connsiteY6" fmla="*/ 66675 h 952500"/>
                                <a:gd name="connsiteX7" fmla="*/ 628650 w 866775"/>
                                <a:gd name="connsiteY7" fmla="*/ 104775 h 952500"/>
                                <a:gd name="connsiteX8" fmla="*/ 600075 w 866775"/>
                                <a:gd name="connsiteY8" fmla="*/ 85725 h 952500"/>
                                <a:gd name="connsiteX9" fmla="*/ 504825 w 866775"/>
                                <a:gd name="connsiteY9" fmla="*/ 66675 h 952500"/>
                                <a:gd name="connsiteX10" fmla="*/ 457200 w 866775"/>
                                <a:gd name="connsiteY10" fmla="*/ 9525 h 952500"/>
                                <a:gd name="connsiteX11" fmla="*/ 409575 w 866775"/>
                                <a:gd name="connsiteY11" fmla="*/ 0 h 952500"/>
                                <a:gd name="connsiteX12" fmla="*/ 400050 w 866775"/>
                                <a:gd name="connsiteY12" fmla="*/ 66675 h 952500"/>
                                <a:gd name="connsiteX13" fmla="*/ 419100 w 866775"/>
                                <a:gd name="connsiteY13" fmla="*/ 123825 h 952500"/>
                                <a:gd name="connsiteX14" fmla="*/ 390525 w 866775"/>
                                <a:gd name="connsiteY14" fmla="*/ 133350 h 952500"/>
                                <a:gd name="connsiteX15" fmla="*/ 323850 w 866775"/>
                                <a:gd name="connsiteY15" fmla="*/ 142875 h 952500"/>
                                <a:gd name="connsiteX16" fmla="*/ 314325 w 866775"/>
                                <a:gd name="connsiteY16" fmla="*/ 190500 h 952500"/>
                                <a:gd name="connsiteX17" fmla="*/ 238125 w 866775"/>
                                <a:gd name="connsiteY17" fmla="*/ 228600 h 952500"/>
                                <a:gd name="connsiteX18" fmla="*/ 247650 w 866775"/>
                                <a:gd name="connsiteY18" fmla="*/ 257175 h 952500"/>
                                <a:gd name="connsiteX19" fmla="*/ 276225 w 866775"/>
                                <a:gd name="connsiteY19" fmla="*/ 276225 h 952500"/>
                                <a:gd name="connsiteX20" fmla="*/ 142875 w 866775"/>
                                <a:gd name="connsiteY20" fmla="*/ 257175 h 952500"/>
                                <a:gd name="connsiteX21" fmla="*/ 0 w 866775"/>
                                <a:gd name="connsiteY21" fmla="*/ 247650 h 952500"/>
                                <a:gd name="connsiteX22" fmla="*/ 9525 w 866775"/>
                                <a:gd name="connsiteY22" fmla="*/ 276225 h 952500"/>
                                <a:gd name="connsiteX23" fmla="*/ 38100 w 866775"/>
                                <a:gd name="connsiteY23" fmla="*/ 295275 h 952500"/>
                                <a:gd name="connsiteX24" fmla="*/ 57150 w 866775"/>
                                <a:gd name="connsiteY24" fmla="*/ 323850 h 952500"/>
                                <a:gd name="connsiteX25" fmla="*/ 66675 w 866775"/>
                                <a:gd name="connsiteY25" fmla="*/ 361950 h 952500"/>
                                <a:gd name="connsiteX26" fmla="*/ 76200 w 866775"/>
                                <a:gd name="connsiteY26" fmla="*/ 419100 h 952500"/>
                                <a:gd name="connsiteX27" fmla="*/ 85725 w 866775"/>
                                <a:gd name="connsiteY27" fmla="*/ 447675 h 952500"/>
                                <a:gd name="connsiteX28" fmla="*/ 76200 w 866775"/>
                                <a:gd name="connsiteY28" fmla="*/ 495300 h 952500"/>
                                <a:gd name="connsiteX29" fmla="*/ 123825 w 866775"/>
                                <a:gd name="connsiteY29" fmla="*/ 533400 h 952500"/>
                                <a:gd name="connsiteX30" fmla="*/ 152400 w 866775"/>
                                <a:gd name="connsiteY30" fmla="*/ 552450 h 952500"/>
                                <a:gd name="connsiteX31" fmla="*/ 171450 w 866775"/>
                                <a:gd name="connsiteY31" fmla="*/ 609600 h 952500"/>
                                <a:gd name="connsiteX32" fmla="*/ 180975 w 866775"/>
                                <a:gd name="connsiteY32" fmla="*/ 638175 h 952500"/>
                                <a:gd name="connsiteX33" fmla="*/ 190500 w 866775"/>
                                <a:gd name="connsiteY33" fmla="*/ 695325 h 952500"/>
                                <a:gd name="connsiteX34" fmla="*/ 285750 w 866775"/>
                                <a:gd name="connsiteY34" fmla="*/ 685800 h 952500"/>
                                <a:gd name="connsiteX35" fmla="*/ 304800 w 866775"/>
                                <a:gd name="connsiteY35" fmla="*/ 714375 h 952500"/>
                                <a:gd name="connsiteX36" fmla="*/ 361950 w 866775"/>
                                <a:gd name="connsiteY36" fmla="*/ 733425 h 952500"/>
                                <a:gd name="connsiteX37" fmla="*/ 390525 w 866775"/>
                                <a:gd name="connsiteY37" fmla="*/ 742950 h 952500"/>
                                <a:gd name="connsiteX38" fmla="*/ 447675 w 866775"/>
                                <a:gd name="connsiteY38" fmla="*/ 781050 h 952500"/>
                                <a:gd name="connsiteX39" fmla="*/ 457200 w 866775"/>
                                <a:gd name="connsiteY39" fmla="*/ 838200 h 952500"/>
                                <a:gd name="connsiteX40" fmla="*/ 495300 w 866775"/>
                                <a:gd name="connsiteY40" fmla="*/ 923925 h 952500"/>
                                <a:gd name="connsiteX41" fmla="*/ 523875 w 866775"/>
                                <a:gd name="connsiteY41" fmla="*/ 952500 h 952500"/>
                                <a:gd name="connsiteX42" fmla="*/ 552450 w 866775"/>
                                <a:gd name="connsiteY42" fmla="*/ 885825 h 952500"/>
                                <a:gd name="connsiteX43" fmla="*/ 561975 w 866775"/>
                                <a:gd name="connsiteY43" fmla="*/ 857250 h 952500"/>
                                <a:gd name="connsiteX44" fmla="*/ 619125 w 866775"/>
                                <a:gd name="connsiteY44" fmla="*/ 838200 h 952500"/>
                                <a:gd name="connsiteX45" fmla="*/ 704850 w 866775"/>
                                <a:gd name="connsiteY45" fmla="*/ 819150 h 952500"/>
                                <a:gd name="connsiteX46" fmla="*/ 790575 w 866775"/>
                                <a:gd name="connsiteY46" fmla="*/ 781050 h 952500"/>
                                <a:gd name="connsiteX47" fmla="*/ 819150 w 866775"/>
                                <a:gd name="connsiteY47" fmla="*/ 771525 h 952500"/>
                                <a:gd name="connsiteX48" fmla="*/ 838200 w 866775"/>
                                <a:gd name="connsiteY48" fmla="*/ 742950 h 952500"/>
                                <a:gd name="connsiteX49" fmla="*/ 781050 w 866775"/>
                                <a:gd name="connsiteY49" fmla="*/ 685800 h 952500"/>
                                <a:gd name="connsiteX50" fmla="*/ 771525 w 866775"/>
                                <a:gd name="connsiteY50" fmla="*/ 657225 h 952500"/>
                                <a:gd name="connsiteX51" fmla="*/ 790575 w 866775"/>
                                <a:gd name="connsiteY51" fmla="*/ 552450 h 952500"/>
                                <a:gd name="connsiteX52" fmla="*/ 781050 w 866775"/>
                                <a:gd name="connsiteY52" fmla="*/ 523875 h 952500"/>
                                <a:gd name="connsiteX53" fmla="*/ 781050 w 866775"/>
                                <a:gd name="connsiteY53" fmla="*/ 438150 h 952500"/>
                                <a:gd name="connsiteX54" fmla="*/ 752475 w 866775"/>
                                <a:gd name="connsiteY54" fmla="*/ 428625 h 952500"/>
                                <a:gd name="connsiteX55" fmla="*/ 742950 w 866775"/>
                                <a:gd name="connsiteY55" fmla="*/ 400050 h 952500"/>
                                <a:gd name="connsiteX56" fmla="*/ 781050 w 866775"/>
                                <a:gd name="connsiteY56" fmla="*/ 352425 h 952500"/>
                                <a:gd name="connsiteX57" fmla="*/ 790575 w 866775"/>
                                <a:gd name="connsiteY57" fmla="*/ 323850 h 952500"/>
                                <a:gd name="connsiteX58" fmla="*/ 790575 w 866775"/>
                                <a:gd name="connsiteY58" fmla="*/ 257175 h 952500"/>
                                <a:gd name="connsiteX59" fmla="*/ 828675 w 866775"/>
                                <a:gd name="connsiteY59" fmla="*/ 200025 h 952500"/>
                                <a:gd name="connsiteX60" fmla="*/ 866775 w 866775"/>
                                <a:gd name="connsiteY60" fmla="*/ 190500 h 952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866775" h="952500">
                                  <a:moveTo>
                                    <a:pt x="866775" y="190500"/>
                                  </a:moveTo>
                                  <a:cubicBezTo>
                                    <a:pt x="835025" y="187325"/>
                                    <a:pt x="801512" y="191879"/>
                                    <a:pt x="771525" y="180975"/>
                                  </a:cubicBezTo>
                                  <a:cubicBezTo>
                                    <a:pt x="762089" y="177544"/>
                                    <a:pt x="766490" y="161380"/>
                                    <a:pt x="762000" y="152400"/>
                                  </a:cubicBezTo>
                                  <a:cubicBezTo>
                                    <a:pt x="756880" y="142161"/>
                                    <a:pt x="751889" y="130976"/>
                                    <a:pt x="742950" y="123825"/>
                                  </a:cubicBezTo>
                                  <a:cubicBezTo>
                                    <a:pt x="735110" y="117553"/>
                                    <a:pt x="723355" y="118790"/>
                                    <a:pt x="714375" y="114300"/>
                                  </a:cubicBezTo>
                                  <a:cubicBezTo>
                                    <a:pt x="704136" y="109180"/>
                                    <a:pt x="695325" y="101600"/>
                                    <a:pt x="685800" y="95250"/>
                                  </a:cubicBezTo>
                                  <a:cubicBezTo>
                                    <a:pt x="679450" y="85725"/>
                                    <a:pt x="677379" y="70927"/>
                                    <a:pt x="666750" y="66675"/>
                                  </a:cubicBezTo>
                                  <a:cubicBezTo>
                                    <a:pt x="636868" y="54722"/>
                                    <a:pt x="633132" y="91328"/>
                                    <a:pt x="628650" y="104775"/>
                                  </a:cubicBezTo>
                                  <a:cubicBezTo>
                                    <a:pt x="619125" y="98425"/>
                                    <a:pt x="610314" y="90845"/>
                                    <a:pt x="600075" y="85725"/>
                                  </a:cubicBezTo>
                                  <a:cubicBezTo>
                                    <a:pt x="573476" y="72425"/>
                                    <a:pt x="529396" y="70185"/>
                                    <a:pt x="504825" y="66675"/>
                                  </a:cubicBezTo>
                                  <a:cubicBezTo>
                                    <a:pt x="493885" y="50264"/>
                                    <a:pt x="475535" y="18692"/>
                                    <a:pt x="457200" y="9525"/>
                                  </a:cubicBezTo>
                                  <a:cubicBezTo>
                                    <a:pt x="442720" y="2285"/>
                                    <a:pt x="425450" y="3175"/>
                                    <a:pt x="409575" y="0"/>
                                  </a:cubicBezTo>
                                  <a:cubicBezTo>
                                    <a:pt x="384747" y="37242"/>
                                    <a:pt x="386052" y="20014"/>
                                    <a:pt x="400050" y="66675"/>
                                  </a:cubicBezTo>
                                  <a:cubicBezTo>
                                    <a:pt x="405820" y="85909"/>
                                    <a:pt x="419100" y="123825"/>
                                    <a:pt x="419100" y="123825"/>
                                  </a:cubicBezTo>
                                  <a:cubicBezTo>
                                    <a:pt x="409575" y="127000"/>
                                    <a:pt x="400370" y="131381"/>
                                    <a:pt x="390525" y="133350"/>
                                  </a:cubicBezTo>
                                  <a:cubicBezTo>
                                    <a:pt x="368510" y="137753"/>
                                    <a:pt x="341811" y="129405"/>
                                    <a:pt x="323850" y="142875"/>
                                  </a:cubicBezTo>
                                  <a:cubicBezTo>
                                    <a:pt x="310898" y="152589"/>
                                    <a:pt x="321565" y="176020"/>
                                    <a:pt x="314325" y="190500"/>
                                  </a:cubicBezTo>
                                  <a:cubicBezTo>
                                    <a:pt x="296537" y="226076"/>
                                    <a:pt x="272236" y="221778"/>
                                    <a:pt x="238125" y="228600"/>
                                  </a:cubicBezTo>
                                  <a:cubicBezTo>
                                    <a:pt x="241300" y="238125"/>
                                    <a:pt x="241378" y="249335"/>
                                    <a:pt x="247650" y="257175"/>
                                  </a:cubicBezTo>
                                  <a:cubicBezTo>
                                    <a:pt x="254801" y="266114"/>
                                    <a:pt x="287517" y="274343"/>
                                    <a:pt x="276225" y="276225"/>
                                  </a:cubicBezTo>
                                  <a:cubicBezTo>
                                    <a:pt x="229975" y="283933"/>
                                    <a:pt x="187404" y="261628"/>
                                    <a:pt x="142875" y="257175"/>
                                  </a:cubicBezTo>
                                  <a:cubicBezTo>
                                    <a:pt x="95381" y="252426"/>
                                    <a:pt x="47625" y="250825"/>
                                    <a:pt x="0" y="247650"/>
                                  </a:cubicBezTo>
                                  <a:cubicBezTo>
                                    <a:pt x="3175" y="257175"/>
                                    <a:pt x="3253" y="268385"/>
                                    <a:pt x="9525" y="276225"/>
                                  </a:cubicBezTo>
                                  <a:cubicBezTo>
                                    <a:pt x="16676" y="285164"/>
                                    <a:pt x="30005" y="287180"/>
                                    <a:pt x="38100" y="295275"/>
                                  </a:cubicBezTo>
                                  <a:cubicBezTo>
                                    <a:pt x="46195" y="303370"/>
                                    <a:pt x="50800" y="314325"/>
                                    <a:pt x="57150" y="323850"/>
                                  </a:cubicBezTo>
                                  <a:cubicBezTo>
                                    <a:pt x="60325" y="336550"/>
                                    <a:pt x="64108" y="349113"/>
                                    <a:pt x="66675" y="361950"/>
                                  </a:cubicBezTo>
                                  <a:cubicBezTo>
                                    <a:pt x="70463" y="380888"/>
                                    <a:pt x="72010" y="400247"/>
                                    <a:pt x="76200" y="419100"/>
                                  </a:cubicBezTo>
                                  <a:cubicBezTo>
                                    <a:pt x="78378" y="428901"/>
                                    <a:pt x="82550" y="438150"/>
                                    <a:pt x="85725" y="447675"/>
                                  </a:cubicBezTo>
                                  <a:cubicBezTo>
                                    <a:pt x="82550" y="463550"/>
                                    <a:pt x="74192" y="479236"/>
                                    <a:pt x="76200" y="495300"/>
                                  </a:cubicBezTo>
                                  <a:cubicBezTo>
                                    <a:pt x="80482" y="529554"/>
                                    <a:pt x="102227" y="522601"/>
                                    <a:pt x="123825" y="533400"/>
                                  </a:cubicBezTo>
                                  <a:cubicBezTo>
                                    <a:pt x="134064" y="538520"/>
                                    <a:pt x="142875" y="546100"/>
                                    <a:pt x="152400" y="552450"/>
                                  </a:cubicBezTo>
                                  <a:lnTo>
                                    <a:pt x="171450" y="609600"/>
                                  </a:lnTo>
                                  <a:cubicBezTo>
                                    <a:pt x="174625" y="619125"/>
                                    <a:pt x="179324" y="628271"/>
                                    <a:pt x="180975" y="638175"/>
                                  </a:cubicBezTo>
                                  <a:lnTo>
                                    <a:pt x="190500" y="695325"/>
                                  </a:lnTo>
                                  <a:cubicBezTo>
                                    <a:pt x="260069" y="672135"/>
                                    <a:pt x="228169" y="671405"/>
                                    <a:pt x="285750" y="685800"/>
                                  </a:cubicBezTo>
                                  <a:cubicBezTo>
                                    <a:pt x="292100" y="695325"/>
                                    <a:pt x="295092" y="708308"/>
                                    <a:pt x="304800" y="714375"/>
                                  </a:cubicBezTo>
                                  <a:cubicBezTo>
                                    <a:pt x="321828" y="725018"/>
                                    <a:pt x="342900" y="727075"/>
                                    <a:pt x="361950" y="733425"/>
                                  </a:cubicBezTo>
                                  <a:cubicBezTo>
                                    <a:pt x="371475" y="736600"/>
                                    <a:pt x="382171" y="737381"/>
                                    <a:pt x="390525" y="742950"/>
                                  </a:cubicBezTo>
                                  <a:lnTo>
                                    <a:pt x="447675" y="781050"/>
                                  </a:lnTo>
                                  <a:cubicBezTo>
                                    <a:pt x="431445" y="829739"/>
                                    <a:pt x="436098" y="790720"/>
                                    <a:pt x="457200" y="838200"/>
                                  </a:cubicBezTo>
                                  <a:cubicBezTo>
                                    <a:pt x="480933" y="891600"/>
                                    <a:pt x="464505" y="886971"/>
                                    <a:pt x="495300" y="923925"/>
                                  </a:cubicBezTo>
                                  <a:cubicBezTo>
                                    <a:pt x="503924" y="934273"/>
                                    <a:pt x="514350" y="942975"/>
                                    <a:pt x="523875" y="952500"/>
                                  </a:cubicBezTo>
                                  <a:cubicBezTo>
                                    <a:pt x="546213" y="885487"/>
                                    <a:pt x="517140" y="968215"/>
                                    <a:pt x="552450" y="885825"/>
                                  </a:cubicBezTo>
                                  <a:cubicBezTo>
                                    <a:pt x="556405" y="876597"/>
                                    <a:pt x="553805" y="863086"/>
                                    <a:pt x="561975" y="857250"/>
                                  </a:cubicBezTo>
                                  <a:cubicBezTo>
                                    <a:pt x="578315" y="845578"/>
                                    <a:pt x="600075" y="844550"/>
                                    <a:pt x="619125" y="838200"/>
                                  </a:cubicBezTo>
                                  <a:cubicBezTo>
                                    <a:pt x="666022" y="822568"/>
                                    <a:pt x="637796" y="830326"/>
                                    <a:pt x="704850" y="819150"/>
                                  </a:cubicBezTo>
                                  <a:cubicBezTo>
                                    <a:pt x="750133" y="788961"/>
                                    <a:pt x="722565" y="803720"/>
                                    <a:pt x="790575" y="781050"/>
                                  </a:cubicBezTo>
                                  <a:lnTo>
                                    <a:pt x="819150" y="771525"/>
                                  </a:lnTo>
                                  <a:cubicBezTo>
                                    <a:pt x="825500" y="762000"/>
                                    <a:pt x="838200" y="754398"/>
                                    <a:pt x="838200" y="742950"/>
                                  </a:cubicBezTo>
                                  <a:cubicBezTo>
                                    <a:pt x="838200" y="689148"/>
                                    <a:pt x="817430" y="694895"/>
                                    <a:pt x="781050" y="685800"/>
                                  </a:cubicBezTo>
                                  <a:cubicBezTo>
                                    <a:pt x="777875" y="676275"/>
                                    <a:pt x="771525" y="667265"/>
                                    <a:pt x="771525" y="657225"/>
                                  </a:cubicBezTo>
                                  <a:cubicBezTo>
                                    <a:pt x="771525" y="603373"/>
                                    <a:pt x="777180" y="592636"/>
                                    <a:pt x="790575" y="552450"/>
                                  </a:cubicBezTo>
                                  <a:cubicBezTo>
                                    <a:pt x="787400" y="542925"/>
                                    <a:pt x="781050" y="533915"/>
                                    <a:pt x="781050" y="523875"/>
                                  </a:cubicBezTo>
                                  <a:cubicBezTo>
                                    <a:pt x="781050" y="505784"/>
                                    <a:pt x="802492" y="459592"/>
                                    <a:pt x="781050" y="438150"/>
                                  </a:cubicBezTo>
                                  <a:cubicBezTo>
                                    <a:pt x="773950" y="431050"/>
                                    <a:pt x="762000" y="431800"/>
                                    <a:pt x="752475" y="428625"/>
                                  </a:cubicBezTo>
                                  <a:cubicBezTo>
                                    <a:pt x="749300" y="419100"/>
                                    <a:pt x="742950" y="410090"/>
                                    <a:pt x="742950" y="400050"/>
                                  </a:cubicBezTo>
                                  <a:cubicBezTo>
                                    <a:pt x="742950" y="369378"/>
                                    <a:pt x="759109" y="367053"/>
                                    <a:pt x="781050" y="352425"/>
                                  </a:cubicBezTo>
                                  <a:cubicBezTo>
                                    <a:pt x="784225" y="342900"/>
                                    <a:pt x="790575" y="333890"/>
                                    <a:pt x="790575" y="323850"/>
                                  </a:cubicBezTo>
                                  <a:cubicBezTo>
                                    <a:pt x="790575" y="273873"/>
                                    <a:pt x="760798" y="316728"/>
                                    <a:pt x="790575" y="257175"/>
                                  </a:cubicBezTo>
                                  <a:cubicBezTo>
                                    <a:pt x="800814" y="236697"/>
                                    <a:pt x="805780" y="200025"/>
                                    <a:pt x="828675" y="200025"/>
                                  </a:cubicBezTo>
                                  <a:lnTo>
                                    <a:pt x="866775" y="190500"/>
                                  </a:lnTo>
                                  <a:close/>
                                </a:path>
                              </a:pathLst>
                            </a:custGeom>
                            <a:solidFill>
                              <a:schemeClr val="accent3">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ES" sz="1100" b="1">
                                <a:solidFill>
                                  <a:sysClr val="windowText" lastClr="000000"/>
                                </a:solidFill>
                              </a:endParaRPr>
                            </a:p>
                            <a:p>
                              <a:pPr algn="ctr"/>
                              <a:r>
                                <a:rPr lang="es-ES" sz="1100" b="1">
                                  <a:solidFill>
                                    <a:sysClr val="windowText" lastClr="000000"/>
                                  </a:solidFill>
                                </a:rPr>
                                <a:t>    San Jose</a:t>
                              </a:r>
                            </a:p>
                            <a:p>
                              <a:pPr algn="ctr"/>
                              <a:r>
                                <a:rPr lang="es-ES" sz="1100" b="1">
                                  <a:solidFill>
                                    <a:sysClr val="windowText" lastClr="000000"/>
                                  </a:solidFill>
                                </a:rPr>
                                <a:t>    de Ocoa</a:t>
                              </a:r>
                            </a:p>
                            <a:p>
                              <a:pPr algn="ctr"/>
                              <a:r>
                                <a:rPr lang="es-ES" sz="1100" b="1">
                                  <a:solidFill>
                                    <a:sysClr val="windowText" lastClr="000000"/>
                                  </a:solidFill>
                                </a:rPr>
                                <a:t>4,612</a:t>
                              </a:r>
                            </a:p>
                            <a:p>
                              <a:pPr algn="ctr"/>
                              <a:r>
                                <a:rPr lang="es-ES" sz="1100" b="1">
                                  <a:solidFill>
                                    <a:sysClr val="windowText" lastClr="000000"/>
                                  </a:solidFill>
                                </a:rPr>
                                <a:t>0.2%</a:t>
                              </a:r>
                            </a:p>
                          </xdr:txBody>
                        </xdr:sp>
                      </xdr:grpSp>
                      <xdr:sp macro="" textlink="">
                        <xdr:nvSpPr>
                          <xdr:cNvPr id="31" name="Forma libre 30"/>
                          <xdr:cNvSpPr/>
                        </xdr:nvSpPr>
                        <xdr:spPr>
                          <a:xfrm>
                            <a:off x="3276599" y="1980137"/>
                            <a:ext cx="908031" cy="1051193"/>
                          </a:xfrm>
                          <a:custGeom>
                            <a:avLst/>
                            <a:gdLst>
                              <a:gd name="connsiteX0" fmla="*/ 542925 w 904875"/>
                              <a:gd name="connsiteY0" fmla="*/ 161925 h 1015202"/>
                              <a:gd name="connsiteX1" fmla="*/ 523875 w 904875"/>
                              <a:gd name="connsiteY1" fmla="*/ 114300 h 1015202"/>
                              <a:gd name="connsiteX2" fmla="*/ 466725 w 904875"/>
                              <a:gd name="connsiteY2" fmla="*/ 85725 h 1015202"/>
                              <a:gd name="connsiteX3" fmla="*/ 457200 w 904875"/>
                              <a:gd name="connsiteY3" fmla="*/ 28575 h 1015202"/>
                              <a:gd name="connsiteX4" fmla="*/ 381000 w 904875"/>
                              <a:gd name="connsiteY4" fmla="*/ 0 h 1015202"/>
                              <a:gd name="connsiteX5" fmla="*/ 314325 w 904875"/>
                              <a:gd name="connsiteY5" fmla="*/ 9525 h 1015202"/>
                              <a:gd name="connsiteX6" fmla="*/ 285750 w 904875"/>
                              <a:gd name="connsiteY6" fmla="*/ 47625 h 1015202"/>
                              <a:gd name="connsiteX7" fmla="*/ 257175 w 904875"/>
                              <a:gd name="connsiteY7" fmla="*/ 66675 h 1015202"/>
                              <a:gd name="connsiteX8" fmla="*/ 228600 w 904875"/>
                              <a:gd name="connsiteY8" fmla="*/ 57150 h 1015202"/>
                              <a:gd name="connsiteX9" fmla="*/ 180975 w 904875"/>
                              <a:gd name="connsiteY9" fmla="*/ 66675 h 1015202"/>
                              <a:gd name="connsiteX10" fmla="*/ 209550 w 904875"/>
                              <a:gd name="connsiteY10" fmla="*/ 161925 h 1015202"/>
                              <a:gd name="connsiteX11" fmla="*/ 219075 w 904875"/>
                              <a:gd name="connsiteY11" fmla="*/ 228600 h 1015202"/>
                              <a:gd name="connsiteX12" fmla="*/ 219075 w 904875"/>
                              <a:gd name="connsiteY12" fmla="*/ 323850 h 1015202"/>
                              <a:gd name="connsiteX13" fmla="*/ 190500 w 904875"/>
                              <a:gd name="connsiteY13" fmla="*/ 333375 h 1015202"/>
                              <a:gd name="connsiteX14" fmla="*/ 161925 w 904875"/>
                              <a:gd name="connsiteY14" fmla="*/ 390525 h 1015202"/>
                              <a:gd name="connsiteX15" fmla="*/ 142875 w 904875"/>
                              <a:gd name="connsiteY15" fmla="*/ 419100 h 1015202"/>
                              <a:gd name="connsiteX16" fmla="*/ 114300 w 904875"/>
                              <a:gd name="connsiteY16" fmla="*/ 476250 h 1015202"/>
                              <a:gd name="connsiteX17" fmla="*/ 57150 w 904875"/>
                              <a:gd name="connsiteY17" fmla="*/ 523875 h 1015202"/>
                              <a:gd name="connsiteX18" fmla="*/ 0 w 904875"/>
                              <a:gd name="connsiteY18" fmla="*/ 552450 h 1015202"/>
                              <a:gd name="connsiteX19" fmla="*/ 38100 w 904875"/>
                              <a:gd name="connsiteY19" fmla="*/ 581025 h 1015202"/>
                              <a:gd name="connsiteX20" fmla="*/ 104775 w 904875"/>
                              <a:gd name="connsiteY20" fmla="*/ 609600 h 1015202"/>
                              <a:gd name="connsiteX21" fmla="*/ 142875 w 904875"/>
                              <a:gd name="connsiteY21" fmla="*/ 809625 h 1015202"/>
                              <a:gd name="connsiteX22" fmla="*/ 171450 w 904875"/>
                              <a:gd name="connsiteY22" fmla="*/ 828675 h 1015202"/>
                              <a:gd name="connsiteX23" fmla="*/ 200025 w 904875"/>
                              <a:gd name="connsiteY23" fmla="*/ 809625 h 1015202"/>
                              <a:gd name="connsiteX24" fmla="*/ 247650 w 904875"/>
                              <a:gd name="connsiteY24" fmla="*/ 847725 h 1015202"/>
                              <a:gd name="connsiteX25" fmla="*/ 276225 w 904875"/>
                              <a:gd name="connsiteY25" fmla="*/ 866775 h 1015202"/>
                              <a:gd name="connsiteX26" fmla="*/ 314325 w 904875"/>
                              <a:gd name="connsiteY26" fmla="*/ 876300 h 1015202"/>
                              <a:gd name="connsiteX27" fmla="*/ 381000 w 904875"/>
                              <a:gd name="connsiteY27" fmla="*/ 914400 h 1015202"/>
                              <a:gd name="connsiteX28" fmla="*/ 428625 w 904875"/>
                              <a:gd name="connsiteY28" fmla="*/ 904875 h 1015202"/>
                              <a:gd name="connsiteX29" fmla="*/ 438150 w 904875"/>
                              <a:gd name="connsiteY29" fmla="*/ 876300 h 1015202"/>
                              <a:gd name="connsiteX30" fmla="*/ 466725 w 904875"/>
                              <a:gd name="connsiteY30" fmla="*/ 866775 h 1015202"/>
                              <a:gd name="connsiteX31" fmla="*/ 495300 w 904875"/>
                              <a:gd name="connsiteY31" fmla="*/ 885825 h 1015202"/>
                              <a:gd name="connsiteX32" fmla="*/ 542925 w 904875"/>
                              <a:gd name="connsiteY32" fmla="*/ 971550 h 1015202"/>
                              <a:gd name="connsiteX33" fmla="*/ 571500 w 904875"/>
                              <a:gd name="connsiteY33" fmla="*/ 981075 h 1015202"/>
                              <a:gd name="connsiteX34" fmla="*/ 638175 w 904875"/>
                              <a:gd name="connsiteY34" fmla="*/ 990600 h 1015202"/>
                              <a:gd name="connsiteX35" fmla="*/ 733425 w 904875"/>
                              <a:gd name="connsiteY35" fmla="*/ 1000125 h 1015202"/>
                              <a:gd name="connsiteX36" fmla="*/ 742950 w 904875"/>
                              <a:gd name="connsiteY36" fmla="*/ 971550 h 1015202"/>
                              <a:gd name="connsiteX37" fmla="*/ 752475 w 904875"/>
                              <a:gd name="connsiteY37" fmla="*/ 866775 h 1015202"/>
                              <a:gd name="connsiteX38" fmla="*/ 838200 w 904875"/>
                              <a:gd name="connsiteY38" fmla="*/ 819150 h 1015202"/>
                              <a:gd name="connsiteX39" fmla="*/ 847725 w 904875"/>
                              <a:gd name="connsiteY39" fmla="*/ 790575 h 1015202"/>
                              <a:gd name="connsiteX40" fmla="*/ 857250 w 904875"/>
                              <a:gd name="connsiteY40" fmla="*/ 695325 h 1015202"/>
                              <a:gd name="connsiteX41" fmla="*/ 885825 w 904875"/>
                              <a:gd name="connsiteY41" fmla="*/ 685800 h 1015202"/>
                              <a:gd name="connsiteX42" fmla="*/ 904875 w 904875"/>
                              <a:gd name="connsiteY42" fmla="*/ 657225 h 1015202"/>
                              <a:gd name="connsiteX43" fmla="*/ 857250 w 904875"/>
                              <a:gd name="connsiteY43" fmla="*/ 571500 h 1015202"/>
                              <a:gd name="connsiteX44" fmla="*/ 828675 w 904875"/>
                              <a:gd name="connsiteY44" fmla="*/ 504825 h 1015202"/>
                              <a:gd name="connsiteX45" fmla="*/ 800100 w 904875"/>
                              <a:gd name="connsiteY45" fmla="*/ 495300 h 1015202"/>
                              <a:gd name="connsiteX46" fmla="*/ 752475 w 904875"/>
                              <a:gd name="connsiteY46" fmla="*/ 476250 h 1015202"/>
                              <a:gd name="connsiteX47" fmla="*/ 733425 w 904875"/>
                              <a:gd name="connsiteY47" fmla="*/ 447675 h 1015202"/>
                              <a:gd name="connsiteX48" fmla="*/ 723900 w 904875"/>
                              <a:gd name="connsiteY48" fmla="*/ 400050 h 1015202"/>
                              <a:gd name="connsiteX49" fmla="*/ 666750 w 904875"/>
                              <a:gd name="connsiteY49" fmla="*/ 381000 h 1015202"/>
                              <a:gd name="connsiteX50" fmla="*/ 638175 w 904875"/>
                              <a:gd name="connsiteY50" fmla="*/ 371475 h 1015202"/>
                              <a:gd name="connsiteX51" fmla="*/ 619125 w 904875"/>
                              <a:gd name="connsiteY51" fmla="*/ 342900 h 1015202"/>
                              <a:gd name="connsiteX52" fmla="*/ 609600 w 904875"/>
                              <a:gd name="connsiteY52" fmla="*/ 257175 h 1015202"/>
                              <a:gd name="connsiteX53" fmla="*/ 552450 w 904875"/>
                              <a:gd name="connsiteY53" fmla="*/ 238125 h 1015202"/>
                              <a:gd name="connsiteX54" fmla="*/ 542925 w 904875"/>
                              <a:gd name="connsiteY54" fmla="*/ 161925 h 10152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904875" h="1015202">
                                <a:moveTo>
                                  <a:pt x="542925" y="161925"/>
                                </a:moveTo>
                                <a:cubicBezTo>
                                  <a:pt x="538163" y="141288"/>
                                  <a:pt x="533813" y="128213"/>
                                  <a:pt x="523875" y="114300"/>
                                </a:cubicBezTo>
                                <a:cubicBezTo>
                                  <a:pt x="512335" y="98144"/>
                                  <a:pt x="483893" y="91448"/>
                                  <a:pt x="466725" y="85725"/>
                                </a:cubicBezTo>
                                <a:cubicBezTo>
                                  <a:pt x="463550" y="66675"/>
                                  <a:pt x="465837" y="45849"/>
                                  <a:pt x="457200" y="28575"/>
                                </a:cubicBezTo>
                                <a:cubicBezTo>
                                  <a:pt x="446299" y="6774"/>
                                  <a:pt x="395805" y="2961"/>
                                  <a:pt x="381000" y="0"/>
                                </a:cubicBezTo>
                                <a:cubicBezTo>
                                  <a:pt x="358775" y="3175"/>
                                  <a:pt x="334405" y="-515"/>
                                  <a:pt x="314325" y="9525"/>
                                </a:cubicBezTo>
                                <a:cubicBezTo>
                                  <a:pt x="300126" y="16625"/>
                                  <a:pt x="296975" y="36400"/>
                                  <a:pt x="285750" y="47625"/>
                                </a:cubicBezTo>
                                <a:cubicBezTo>
                                  <a:pt x="277655" y="55720"/>
                                  <a:pt x="266700" y="60325"/>
                                  <a:pt x="257175" y="66675"/>
                                </a:cubicBezTo>
                                <a:cubicBezTo>
                                  <a:pt x="247650" y="63500"/>
                                  <a:pt x="238640" y="57150"/>
                                  <a:pt x="228600" y="57150"/>
                                </a:cubicBezTo>
                                <a:cubicBezTo>
                                  <a:pt x="212411" y="57150"/>
                                  <a:pt x="188215" y="52195"/>
                                  <a:pt x="180975" y="66675"/>
                                </a:cubicBezTo>
                                <a:cubicBezTo>
                                  <a:pt x="163463" y="101699"/>
                                  <a:pt x="192658" y="136587"/>
                                  <a:pt x="209550" y="161925"/>
                                </a:cubicBezTo>
                                <a:cubicBezTo>
                                  <a:pt x="212725" y="184150"/>
                                  <a:pt x="214672" y="206585"/>
                                  <a:pt x="219075" y="228600"/>
                                </a:cubicBezTo>
                                <a:cubicBezTo>
                                  <a:pt x="227453" y="270492"/>
                                  <a:pt x="248459" y="265083"/>
                                  <a:pt x="219075" y="323850"/>
                                </a:cubicBezTo>
                                <a:cubicBezTo>
                                  <a:pt x="214585" y="332830"/>
                                  <a:pt x="200025" y="330200"/>
                                  <a:pt x="190500" y="333375"/>
                                </a:cubicBezTo>
                                <a:cubicBezTo>
                                  <a:pt x="135905" y="415267"/>
                                  <a:pt x="201360" y="311655"/>
                                  <a:pt x="161925" y="390525"/>
                                </a:cubicBezTo>
                                <a:cubicBezTo>
                                  <a:pt x="156805" y="400764"/>
                                  <a:pt x="147995" y="408861"/>
                                  <a:pt x="142875" y="419100"/>
                                </a:cubicBezTo>
                                <a:cubicBezTo>
                                  <a:pt x="121396" y="462058"/>
                                  <a:pt x="148422" y="435304"/>
                                  <a:pt x="114300" y="476250"/>
                                </a:cubicBezTo>
                                <a:cubicBezTo>
                                  <a:pt x="99253" y="494306"/>
                                  <a:pt x="78557" y="513171"/>
                                  <a:pt x="57150" y="523875"/>
                                </a:cubicBezTo>
                                <a:cubicBezTo>
                                  <a:pt x="-21720" y="563310"/>
                                  <a:pt x="81892" y="497855"/>
                                  <a:pt x="0" y="552450"/>
                                </a:cubicBezTo>
                                <a:cubicBezTo>
                                  <a:pt x="12700" y="561975"/>
                                  <a:pt x="23901" y="573925"/>
                                  <a:pt x="38100" y="581025"/>
                                </a:cubicBezTo>
                                <a:cubicBezTo>
                                  <a:pt x="161115" y="642532"/>
                                  <a:pt x="764" y="540259"/>
                                  <a:pt x="104775" y="609600"/>
                                </a:cubicBezTo>
                                <a:cubicBezTo>
                                  <a:pt x="109095" y="648482"/>
                                  <a:pt x="95113" y="761863"/>
                                  <a:pt x="142875" y="809625"/>
                                </a:cubicBezTo>
                                <a:cubicBezTo>
                                  <a:pt x="150970" y="817720"/>
                                  <a:pt x="161925" y="822325"/>
                                  <a:pt x="171450" y="828675"/>
                                </a:cubicBezTo>
                                <a:cubicBezTo>
                                  <a:pt x="180975" y="822325"/>
                                  <a:pt x="188733" y="811507"/>
                                  <a:pt x="200025" y="809625"/>
                                </a:cubicBezTo>
                                <a:cubicBezTo>
                                  <a:pt x="231813" y="804327"/>
                                  <a:pt x="231749" y="831824"/>
                                  <a:pt x="247650" y="847725"/>
                                </a:cubicBezTo>
                                <a:cubicBezTo>
                                  <a:pt x="255745" y="855820"/>
                                  <a:pt x="265703" y="862266"/>
                                  <a:pt x="276225" y="866775"/>
                                </a:cubicBezTo>
                                <a:cubicBezTo>
                                  <a:pt x="288257" y="871932"/>
                                  <a:pt x="302068" y="871703"/>
                                  <a:pt x="314325" y="876300"/>
                                </a:cubicBezTo>
                                <a:cubicBezTo>
                                  <a:pt x="341947" y="886658"/>
                                  <a:pt x="357313" y="898609"/>
                                  <a:pt x="381000" y="914400"/>
                                </a:cubicBezTo>
                                <a:cubicBezTo>
                                  <a:pt x="396875" y="911225"/>
                                  <a:pt x="415155" y="913855"/>
                                  <a:pt x="428625" y="904875"/>
                                </a:cubicBezTo>
                                <a:cubicBezTo>
                                  <a:pt x="436979" y="899306"/>
                                  <a:pt x="431050" y="883400"/>
                                  <a:pt x="438150" y="876300"/>
                                </a:cubicBezTo>
                                <a:cubicBezTo>
                                  <a:pt x="445250" y="869200"/>
                                  <a:pt x="457200" y="869950"/>
                                  <a:pt x="466725" y="866775"/>
                                </a:cubicBezTo>
                                <a:cubicBezTo>
                                  <a:pt x="476250" y="873125"/>
                                  <a:pt x="489233" y="876117"/>
                                  <a:pt x="495300" y="885825"/>
                                </a:cubicBezTo>
                                <a:cubicBezTo>
                                  <a:pt x="530802" y="942627"/>
                                  <a:pt x="491972" y="937582"/>
                                  <a:pt x="542925" y="971550"/>
                                </a:cubicBezTo>
                                <a:cubicBezTo>
                                  <a:pt x="551279" y="977119"/>
                                  <a:pt x="561655" y="979106"/>
                                  <a:pt x="571500" y="981075"/>
                                </a:cubicBezTo>
                                <a:cubicBezTo>
                                  <a:pt x="593515" y="985478"/>
                                  <a:pt x="615950" y="987425"/>
                                  <a:pt x="638175" y="990600"/>
                                </a:cubicBezTo>
                                <a:cubicBezTo>
                                  <a:pt x="673254" y="1013986"/>
                                  <a:pt x="679297" y="1027189"/>
                                  <a:pt x="733425" y="1000125"/>
                                </a:cubicBezTo>
                                <a:cubicBezTo>
                                  <a:pt x="742405" y="995635"/>
                                  <a:pt x="739775" y="981075"/>
                                  <a:pt x="742950" y="971550"/>
                                </a:cubicBezTo>
                                <a:cubicBezTo>
                                  <a:pt x="746125" y="936625"/>
                                  <a:pt x="737645" y="898554"/>
                                  <a:pt x="752475" y="866775"/>
                                </a:cubicBezTo>
                                <a:cubicBezTo>
                                  <a:pt x="764542" y="840918"/>
                                  <a:pt x="811339" y="828104"/>
                                  <a:pt x="838200" y="819150"/>
                                </a:cubicBezTo>
                                <a:cubicBezTo>
                                  <a:pt x="841375" y="809625"/>
                                  <a:pt x="846198" y="800498"/>
                                  <a:pt x="847725" y="790575"/>
                                </a:cubicBezTo>
                                <a:cubicBezTo>
                                  <a:pt x="852577" y="759038"/>
                                  <a:pt x="846346" y="725312"/>
                                  <a:pt x="857250" y="695325"/>
                                </a:cubicBezTo>
                                <a:cubicBezTo>
                                  <a:pt x="860681" y="685889"/>
                                  <a:pt x="876300" y="688975"/>
                                  <a:pt x="885825" y="685800"/>
                                </a:cubicBezTo>
                                <a:cubicBezTo>
                                  <a:pt x="892175" y="676275"/>
                                  <a:pt x="904875" y="668673"/>
                                  <a:pt x="904875" y="657225"/>
                                </a:cubicBezTo>
                                <a:cubicBezTo>
                                  <a:pt x="904875" y="610606"/>
                                  <a:pt x="884387" y="598637"/>
                                  <a:pt x="857250" y="571500"/>
                                </a:cubicBezTo>
                                <a:cubicBezTo>
                                  <a:pt x="851558" y="554423"/>
                                  <a:pt x="840445" y="516595"/>
                                  <a:pt x="828675" y="504825"/>
                                </a:cubicBezTo>
                                <a:cubicBezTo>
                                  <a:pt x="821575" y="497725"/>
                                  <a:pt x="809501" y="498825"/>
                                  <a:pt x="800100" y="495300"/>
                                </a:cubicBezTo>
                                <a:cubicBezTo>
                                  <a:pt x="784091" y="489297"/>
                                  <a:pt x="768350" y="482600"/>
                                  <a:pt x="752475" y="476250"/>
                                </a:cubicBezTo>
                                <a:cubicBezTo>
                                  <a:pt x="746125" y="466725"/>
                                  <a:pt x="737445" y="458394"/>
                                  <a:pt x="733425" y="447675"/>
                                </a:cubicBezTo>
                                <a:cubicBezTo>
                                  <a:pt x="727741" y="432516"/>
                                  <a:pt x="735348" y="411498"/>
                                  <a:pt x="723900" y="400050"/>
                                </a:cubicBezTo>
                                <a:cubicBezTo>
                                  <a:pt x="709701" y="385851"/>
                                  <a:pt x="685800" y="387350"/>
                                  <a:pt x="666750" y="381000"/>
                                </a:cubicBezTo>
                                <a:lnTo>
                                  <a:pt x="638175" y="371475"/>
                                </a:lnTo>
                                <a:cubicBezTo>
                                  <a:pt x="631825" y="361950"/>
                                  <a:pt x="621901" y="354006"/>
                                  <a:pt x="619125" y="342900"/>
                                </a:cubicBezTo>
                                <a:cubicBezTo>
                                  <a:pt x="612152" y="315008"/>
                                  <a:pt x="625036" y="281431"/>
                                  <a:pt x="609600" y="257175"/>
                                </a:cubicBezTo>
                                <a:cubicBezTo>
                                  <a:pt x="598819" y="240234"/>
                                  <a:pt x="552450" y="238125"/>
                                  <a:pt x="552450" y="238125"/>
                                </a:cubicBezTo>
                                <a:cubicBezTo>
                                  <a:pt x="528116" y="201625"/>
                                  <a:pt x="547687" y="182562"/>
                                  <a:pt x="542925" y="161925"/>
                                </a:cubicBezTo>
                                <a:close/>
                              </a:path>
                            </a:pathLst>
                          </a:custGeom>
                          <a:solidFill>
                            <a:schemeClr val="accent3">
                              <a:lumMod val="50000"/>
                            </a:schemeClr>
                          </a:solidFill>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endParaRPr lang="es-ES" sz="1000" b="1">
                              <a:solidFill>
                                <a:schemeClr val="bg1"/>
                              </a:solidFill>
                            </a:endParaRPr>
                          </a:p>
                          <a:p>
                            <a:pPr algn="ctr"/>
                            <a:r>
                              <a:rPr lang="es-ES" sz="1000" b="1">
                                <a:solidFill>
                                  <a:schemeClr val="bg1"/>
                                </a:solidFill>
                              </a:rPr>
                              <a:t>Monseñol</a:t>
                            </a:r>
                          </a:p>
                          <a:p>
                            <a:pPr algn="ctr"/>
                            <a:r>
                              <a:rPr lang="es-ES" sz="1000" b="1" baseline="0">
                                <a:solidFill>
                                  <a:schemeClr val="bg1"/>
                                </a:solidFill>
                              </a:rPr>
                              <a:t> Nouel</a:t>
                            </a:r>
                          </a:p>
                          <a:p>
                            <a:pPr algn="ctr"/>
                            <a:r>
                              <a:rPr lang="es-ES" sz="1000" b="1" baseline="0">
                                <a:solidFill>
                                  <a:schemeClr val="bg1"/>
                                </a:solidFill>
                              </a:rPr>
                              <a:t>36,054 </a:t>
                            </a:r>
                          </a:p>
                          <a:p>
                            <a:pPr algn="ctr"/>
                            <a:r>
                              <a:rPr lang="es-ES" sz="1000" b="1" baseline="0">
                                <a:solidFill>
                                  <a:schemeClr val="bg1"/>
                                </a:solidFill>
                              </a:rPr>
                              <a:t>1.2%</a:t>
                            </a:r>
                            <a:endParaRPr lang="es-ES" sz="1000" b="1">
                              <a:solidFill>
                                <a:schemeClr val="bg1"/>
                              </a:solidFill>
                            </a:endParaRPr>
                          </a:p>
                        </xdr:txBody>
                      </xdr:sp>
                    </xdr:grpSp>
                    <xdr:sp macro="" textlink="">
                      <xdr:nvSpPr>
                        <xdr:cNvPr id="29" name="Forma libre 28"/>
                        <xdr:cNvSpPr/>
                      </xdr:nvSpPr>
                      <xdr:spPr>
                        <a:xfrm>
                          <a:off x="3848100" y="1076325"/>
                          <a:ext cx="1704975" cy="1166769"/>
                        </a:xfrm>
                        <a:custGeom>
                          <a:avLst/>
                          <a:gdLst>
                            <a:gd name="connsiteX0" fmla="*/ 600075 w 1704975"/>
                            <a:gd name="connsiteY0" fmla="*/ 219075 h 1166769"/>
                            <a:gd name="connsiteX1" fmla="*/ 590550 w 1704975"/>
                            <a:gd name="connsiteY1" fmla="*/ 171450 h 1166769"/>
                            <a:gd name="connsiteX2" fmla="*/ 600075 w 1704975"/>
                            <a:gd name="connsiteY2" fmla="*/ 142875 h 1166769"/>
                            <a:gd name="connsiteX3" fmla="*/ 561975 w 1704975"/>
                            <a:gd name="connsiteY3" fmla="*/ 38100 h 1166769"/>
                            <a:gd name="connsiteX4" fmla="*/ 514350 w 1704975"/>
                            <a:gd name="connsiteY4" fmla="*/ 28575 h 1166769"/>
                            <a:gd name="connsiteX5" fmla="*/ 457200 w 1704975"/>
                            <a:gd name="connsiteY5" fmla="*/ 0 h 1166769"/>
                            <a:gd name="connsiteX6" fmla="*/ 371475 w 1704975"/>
                            <a:gd name="connsiteY6" fmla="*/ 19050 h 1166769"/>
                            <a:gd name="connsiteX7" fmla="*/ 314325 w 1704975"/>
                            <a:gd name="connsiteY7" fmla="*/ 28575 h 1166769"/>
                            <a:gd name="connsiteX8" fmla="*/ 304800 w 1704975"/>
                            <a:gd name="connsiteY8" fmla="*/ 57150 h 1166769"/>
                            <a:gd name="connsiteX9" fmla="*/ 247650 w 1704975"/>
                            <a:gd name="connsiteY9" fmla="*/ 85725 h 1166769"/>
                            <a:gd name="connsiteX10" fmla="*/ 219075 w 1704975"/>
                            <a:gd name="connsiteY10" fmla="*/ 104775 h 1166769"/>
                            <a:gd name="connsiteX11" fmla="*/ 257175 w 1704975"/>
                            <a:gd name="connsiteY11" fmla="*/ 152400 h 1166769"/>
                            <a:gd name="connsiteX12" fmla="*/ 285750 w 1704975"/>
                            <a:gd name="connsiteY12" fmla="*/ 161925 h 1166769"/>
                            <a:gd name="connsiteX13" fmla="*/ 276225 w 1704975"/>
                            <a:gd name="connsiteY13" fmla="*/ 190500 h 1166769"/>
                            <a:gd name="connsiteX14" fmla="*/ 219075 w 1704975"/>
                            <a:gd name="connsiteY14" fmla="*/ 209550 h 1166769"/>
                            <a:gd name="connsiteX15" fmla="*/ 190500 w 1704975"/>
                            <a:gd name="connsiteY15" fmla="*/ 228600 h 1166769"/>
                            <a:gd name="connsiteX16" fmla="*/ 180975 w 1704975"/>
                            <a:gd name="connsiteY16" fmla="*/ 257175 h 1166769"/>
                            <a:gd name="connsiteX17" fmla="*/ 142875 w 1704975"/>
                            <a:gd name="connsiteY17" fmla="*/ 314325 h 1166769"/>
                            <a:gd name="connsiteX18" fmla="*/ 133350 w 1704975"/>
                            <a:gd name="connsiteY18" fmla="*/ 342900 h 1166769"/>
                            <a:gd name="connsiteX19" fmla="*/ 152400 w 1704975"/>
                            <a:gd name="connsiteY19" fmla="*/ 371475 h 1166769"/>
                            <a:gd name="connsiteX20" fmla="*/ 142875 w 1704975"/>
                            <a:gd name="connsiteY20" fmla="*/ 409575 h 1166769"/>
                            <a:gd name="connsiteX21" fmla="*/ 95250 w 1704975"/>
                            <a:gd name="connsiteY21" fmla="*/ 466725 h 1166769"/>
                            <a:gd name="connsiteX22" fmla="*/ 66675 w 1704975"/>
                            <a:gd name="connsiteY22" fmla="*/ 485775 h 1166769"/>
                            <a:gd name="connsiteX23" fmla="*/ 47625 w 1704975"/>
                            <a:gd name="connsiteY23" fmla="*/ 571500 h 1166769"/>
                            <a:gd name="connsiteX24" fmla="*/ 19050 w 1704975"/>
                            <a:gd name="connsiteY24" fmla="*/ 600075 h 1166769"/>
                            <a:gd name="connsiteX25" fmla="*/ 0 w 1704975"/>
                            <a:gd name="connsiteY25" fmla="*/ 628650 h 1166769"/>
                            <a:gd name="connsiteX26" fmla="*/ 9525 w 1704975"/>
                            <a:gd name="connsiteY26" fmla="*/ 657225 h 1166769"/>
                            <a:gd name="connsiteX27" fmla="*/ 38100 w 1704975"/>
                            <a:gd name="connsiteY27" fmla="*/ 666750 h 1166769"/>
                            <a:gd name="connsiteX28" fmla="*/ 76200 w 1704975"/>
                            <a:gd name="connsiteY28" fmla="*/ 685800 h 1166769"/>
                            <a:gd name="connsiteX29" fmla="*/ 133350 w 1704975"/>
                            <a:gd name="connsiteY29" fmla="*/ 723900 h 1166769"/>
                            <a:gd name="connsiteX30" fmla="*/ 152400 w 1704975"/>
                            <a:gd name="connsiteY30" fmla="*/ 781050 h 1166769"/>
                            <a:gd name="connsiteX31" fmla="*/ 171450 w 1704975"/>
                            <a:gd name="connsiteY31" fmla="*/ 809625 h 1166769"/>
                            <a:gd name="connsiteX32" fmla="*/ 219075 w 1704975"/>
                            <a:gd name="connsiteY32" fmla="*/ 895350 h 1166769"/>
                            <a:gd name="connsiteX33" fmla="*/ 247650 w 1704975"/>
                            <a:gd name="connsiteY33" fmla="*/ 904875 h 1166769"/>
                            <a:gd name="connsiteX34" fmla="*/ 304800 w 1704975"/>
                            <a:gd name="connsiteY34" fmla="*/ 895350 h 1166769"/>
                            <a:gd name="connsiteX35" fmla="*/ 361950 w 1704975"/>
                            <a:gd name="connsiteY35" fmla="*/ 933450 h 1166769"/>
                            <a:gd name="connsiteX36" fmla="*/ 457200 w 1704975"/>
                            <a:gd name="connsiteY36" fmla="*/ 923925 h 1166769"/>
                            <a:gd name="connsiteX37" fmla="*/ 466725 w 1704975"/>
                            <a:gd name="connsiteY37" fmla="*/ 895350 h 1166769"/>
                            <a:gd name="connsiteX38" fmla="*/ 495300 w 1704975"/>
                            <a:gd name="connsiteY38" fmla="*/ 885825 h 1166769"/>
                            <a:gd name="connsiteX39" fmla="*/ 523875 w 1704975"/>
                            <a:gd name="connsiteY39" fmla="*/ 895350 h 1166769"/>
                            <a:gd name="connsiteX40" fmla="*/ 542925 w 1704975"/>
                            <a:gd name="connsiteY40" fmla="*/ 933450 h 1166769"/>
                            <a:gd name="connsiteX41" fmla="*/ 581025 w 1704975"/>
                            <a:gd name="connsiteY41" fmla="*/ 923925 h 1166769"/>
                            <a:gd name="connsiteX42" fmla="*/ 609600 w 1704975"/>
                            <a:gd name="connsiteY42" fmla="*/ 914400 h 1166769"/>
                            <a:gd name="connsiteX43" fmla="*/ 676275 w 1704975"/>
                            <a:gd name="connsiteY43" fmla="*/ 895350 h 1166769"/>
                            <a:gd name="connsiteX44" fmla="*/ 762000 w 1704975"/>
                            <a:gd name="connsiteY44" fmla="*/ 942975 h 1166769"/>
                            <a:gd name="connsiteX45" fmla="*/ 781050 w 1704975"/>
                            <a:gd name="connsiteY45" fmla="*/ 1000125 h 1166769"/>
                            <a:gd name="connsiteX46" fmla="*/ 800100 w 1704975"/>
                            <a:gd name="connsiteY46" fmla="*/ 1028700 h 1166769"/>
                            <a:gd name="connsiteX47" fmla="*/ 809625 w 1704975"/>
                            <a:gd name="connsiteY47" fmla="*/ 1057275 h 1166769"/>
                            <a:gd name="connsiteX48" fmla="*/ 866775 w 1704975"/>
                            <a:gd name="connsiteY48" fmla="*/ 1095375 h 1166769"/>
                            <a:gd name="connsiteX49" fmla="*/ 923925 w 1704975"/>
                            <a:gd name="connsiteY49" fmla="*/ 1114425 h 1166769"/>
                            <a:gd name="connsiteX50" fmla="*/ 981075 w 1704975"/>
                            <a:gd name="connsiteY50" fmla="*/ 1076325 h 1166769"/>
                            <a:gd name="connsiteX51" fmla="*/ 962025 w 1704975"/>
                            <a:gd name="connsiteY51" fmla="*/ 1047750 h 1166769"/>
                            <a:gd name="connsiteX52" fmla="*/ 971550 w 1704975"/>
                            <a:gd name="connsiteY52" fmla="*/ 1009650 h 1166769"/>
                            <a:gd name="connsiteX53" fmla="*/ 1104900 w 1704975"/>
                            <a:gd name="connsiteY53" fmla="*/ 1047750 h 1166769"/>
                            <a:gd name="connsiteX54" fmla="*/ 1114425 w 1704975"/>
                            <a:gd name="connsiteY54" fmla="*/ 1076325 h 1166769"/>
                            <a:gd name="connsiteX55" fmla="*/ 1133475 w 1704975"/>
                            <a:gd name="connsiteY55" fmla="*/ 1162050 h 1166769"/>
                            <a:gd name="connsiteX56" fmla="*/ 1190625 w 1704975"/>
                            <a:gd name="connsiteY56" fmla="*/ 1152525 h 1166769"/>
                            <a:gd name="connsiteX57" fmla="*/ 1200150 w 1704975"/>
                            <a:gd name="connsiteY57" fmla="*/ 1085850 h 1166769"/>
                            <a:gd name="connsiteX58" fmla="*/ 1228725 w 1704975"/>
                            <a:gd name="connsiteY58" fmla="*/ 1066800 h 1166769"/>
                            <a:gd name="connsiteX59" fmla="*/ 1590675 w 1704975"/>
                            <a:gd name="connsiteY59" fmla="*/ 1057275 h 1166769"/>
                            <a:gd name="connsiteX60" fmla="*/ 1552575 w 1704975"/>
                            <a:gd name="connsiteY60" fmla="*/ 1028700 h 1166769"/>
                            <a:gd name="connsiteX61" fmla="*/ 1514475 w 1704975"/>
                            <a:gd name="connsiteY61" fmla="*/ 1019175 h 1166769"/>
                            <a:gd name="connsiteX62" fmla="*/ 1495425 w 1704975"/>
                            <a:gd name="connsiteY62" fmla="*/ 990600 h 1166769"/>
                            <a:gd name="connsiteX63" fmla="*/ 1504950 w 1704975"/>
                            <a:gd name="connsiteY63" fmla="*/ 923925 h 1166769"/>
                            <a:gd name="connsiteX64" fmla="*/ 1533525 w 1704975"/>
                            <a:gd name="connsiteY64" fmla="*/ 914400 h 1166769"/>
                            <a:gd name="connsiteX65" fmla="*/ 1619250 w 1704975"/>
                            <a:gd name="connsiteY65" fmla="*/ 904875 h 1166769"/>
                            <a:gd name="connsiteX66" fmla="*/ 1666875 w 1704975"/>
                            <a:gd name="connsiteY66" fmla="*/ 857250 h 1166769"/>
                            <a:gd name="connsiteX67" fmla="*/ 1704975 w 1704975"/>
                            <a:gd name="connsiteY67" fmla="*/ 809625 h 1166769"/>
                            <a:gd name="connsiteX68" fmla="*/ 1581150 w 1704975"/>
                            <a:gd name="connsiteY68" fmla="*/ 762000 h 1166769"/>
                            <a:gd name="connsiteX69" fmla="*/ 1524000 w 1704975"/>
                            <a:gd name="connsiteY69" fmla="*/ 723900 h 1166769"/>
                            <a:gd name="connsiteX70" fmla="*/ 1495425 w 1704975"/>
                            <a:gd name="connsiteY70" fmla="*/ 733425 h 1166769"/>
                            <a:gd name="connsiteX71" fmla="*/ 1466850 w 1704975"/>
                            <a:gd name="connsiteY71" fmla="*/ 752475 h 1166769"/>
                            <a:gd name="connsiteX72" fmla="*/ 1428750 w 1704975"/>
                            <a:gd name="connsiteY72" fmla="*/ 762000 h 1166769"/>
                            <a:gd name="connsiteX73" fmla="*/ 1362075 w 1704975"/>
                            <a:gd name="connsiteY73" fmla="*/ 790575 h 1166769"/>
                            <a:gd name="connsiteX74" fmla="*/ 1314450 w 1704975"/>
                            <a:gd name="connsiteY74" fmla="*/ 781050 h 1166769"/>
                            <a:gd name="connsiteX75" fmla="*/ 1257300 w 1704975"/>
                            <a:gd name="connsiteY75" fmla="*/ 742950 h 1166769"/>
                            <a:gd name="connsiteX76" fmla="*/ 1200150 w 1704975"/>
                            <a:gd name="connsiteY76" fmla="*/ 714375 h 1166769"/>
                            <a:gd name="connsiteX77" fmla="*/ 1066800 w 1704975"/>
                            <a:gd name="connsiteY77" fmla="*/ 704850 h 1166769"/>
                            <a:gd name="connsiteX78" fmla="*/ 1019175 w 1704975"/>
                            <a:gd name="connsiteY78" fmla="*/ 609600 h 1166769"/>
                            <a:gd name="connsiteX79" fmla="*/ 990600 w 1704975"/>
                            <a:gd name="connsiteY79" fmla="*/ 600075 h 1166769"/>
                            <a:gd name="connsiteX80" fmla="*/ 876300 w 1704975"/>
                            <a:gd name="connsiteY80" fmla="*/ 609600 h 1166769"/>
                            <a:gd name="connsiteX81" fmla="*/ 866775 w 1704975"/>
                            <a:gd name="connsiteY81" fmla="*/ 542925 h 1166769"/>
                            <a:gd name="connsiteX82" fmla="*/ 771525 w 1704975"/>
                            <a:gd name="connsiteY82" fmla="*/ 476250 h 1166769"/>
                            <a:gd name="connsiteX83" fmla="*/ 742950 w 1704975"/>
                            <a:gd name="connsiteY83" fmla="*/ 419100 h 1166769"/>
                            <a:gd name="connsiteX84" fmla="*/ 723900 w 1704975"/>
                            <a:gd name="connsiteY84" fmla="*/ 390525 h 1166769"/>
                            <a:gd name="connsiteX85" fmla="*/ 647700 w 1704975"/>
                            <a:gd name="connsiteY85" fmla="*/ 381000 h 1166769"/>
                            <a:gd name="connsiteX86" fmla="*/ 695325 w 1704975"/>
                            <a:gd name="connsiteY86" fmla="*/ 323850 h 1166769"/>
                            <a:gd name="connsiteX87" fmla="*/ 704850 w 1704975"/>
                            <a:gd name="connsiteY87" fmla="*/ 266700 h 1166769"/>
                            <a:gd name="connsiteX88" fmla="*/ 695325 w 1704975"/>
                            <a:gd name="connsiteY88" fmla="*/ 238125 h 1166769"/>
                            <a:gd name="connsiteX89" fmla="*/ 628650 w 1704975"/>
                            <a:gd name="connsiteY89" fmla="*/ 228600 h 1166769"/>
                            <a:gd name="connsiteX90" fmla="*/ 600075 w 1704975"/>
                            <a:gd name="connsiteY90" fmla="*/ 219075 h 11667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1704975" h="1166769">
                              <a:moveTo>
                                <a:pt x="600075" y="219075"/>
                              </a:moveTo>
                              <a:cubicBezTo>
                                <a:pt x="593725" y="209550"/>
                                <a:pt x="590550" y="187639"/>
                                <a:pt x="590550" y="171450"/>
                              </a:cubicBezTo>
                              <a:cubicBezTo>
                                <a:pt x="590550" y="161410"/>
                                <a:pt x="600075" y="152915"/>
                                <a:pt x="600075" y="142875"/>
                              </a:cubicBezTo>
                              <a:cubicBezTo>
                                <a:pt x="600075" y="103255"/>
                                <a:pt x="602759" y="58492"/>
                                <a:pt x="561975" y="38100"/>
                              </a:cubicBezTo>
                              <a:cubicBezTo>
                                <a:pt x="547495" y="30860"/>
                                <a:pt x="530225" y="31750"/>
                                <a:pt x="514350" y="28575"/>
                              </a:cubicBezTo>
                              <a:cubicBezTo>
                                <a:pt x="499903" y="18943"/>
                                <a:pt x="476918" y="0"/>
                                <a:pt x="457200" y="0"/>
                              </a:cubicBezTo>
                              <a:cubicBezTo>
                                <a:pt x="395333" y="0"/>
                                <a:pt x="415675" y="9228"/>
                                <a:pt x="371475" y="19050"/>
                              </a:cubicBezTo>
                              <a:cubicBezTo>
                                <a:pt x="352622" y="23240"/>
                                <a:pt x="333375" y="25400"/>
                                <a:pt x="314325" y="28575"/>
                              </a:cubicBezTo>
                              <a:cubicBezTo>
                                <a:pt x="311150" y="38100"/>
                                <a:pt x="311072" y="49310"/>
                                <a:pt x="304800" y="57150"/>
                              </a:cubicBezTo>
                              <a:cubicBezTo>
                                <a:pt x="286602" y="79898"/>
                                <a:pt x="270657" y="74221"/>
                                <a:pt x="247650" y="85725"/>
                              </a:cubicBezTo>
                              <a:cubicBezTo>
                                <a:pt x="237411" y="90845"/>
                                <a:pt x="228600" y="98425"/>
                                <a:pt x="219075" y="104775"/>
                              </a:cubicBezTo>
                              <a:cubicBezTo>
                                <a:pt x="287588" y="127613"/>
                                <a:pt x="209335" y="92599"/>
                                <a:pt x="257175" y="152400"/>
                              </a:cubicBezTo>
                              <a:cubicBezTo>
                                <a:pt x="263447" y="160240"/>
                                <a:pt x="276225" y="158750"/>
                                <a:pt x="285750" y="161925"/>
                              </a:cubicBezTo>
                              <a:cubicBezTo>
                                <a:pt x="282575" y="171450"/>
                                <a:pt x="284395" y="184664"/>
                                <a:pt x="276225" y="190500"/>
                              </a:cubicBezTo>
                              <a:cubicBezTo>
                                <a:pt x="259885" y="202172"/>
                                <a:pt x="235783" y="198411"/>
                                <a:pt x="219075" y="209550"/>
                              </a:cubicBezTo>
                              <a:lnTo>
                                <a:pt x="190500" y="228600"/>
                              </a:lnTo>
                              <a:cubicBezTo>
                                <a:pt x="187325" y="238125"/>
                                <a:pt x="185851" y="248398"/>
                                <a:pt x="180975" y="257175"/>
                              </a:cubicBezTo>
                              <a:cubicBezTo>
                                <a:pt x="169856" y="277189"/>
                                <a:pt x="150115" y="292605"/>
                                <a:pt x="142875" y="314325"/>
                              </a:cubicBezTo>
                              <a:lnTo>
                                <a:pt x="133350" y="342900"/>
                              </a:lnTo>
                              <a:cubicBezTo>
                                <a:pt x="139700" y="352425"/>
                                <a:pt x="150781" y="360142"/>
                                <a:pt x="152400" y="371475"/>
                              </a:cubicBezTo>
                              <a:cubicBezTo>
                                <a:pt x="154251" y="384434"/>
                                <a:pt x="148032" y="397543"/>
                                <a:pt x="142875" y="409575"/>
                              </a:cubicBezTo>
                              <a:cubicBezTo>
                                <a:pt x="134550" y="429000"/>
                                <a:pt x="110507" y="454011"/>
                                <a:pt x="95250" y="466725"/>
                              </a:cubicBezTo>
                              <a:cubicBezTo>
                                <a:pt x="86456" y="474054"/>
                                <a:pt x="76200" y="479425"/>
                                <a:pt x="66675" y="485775"/>
                              </a:cubicBezTo>
                              <a:cubicBezTo>
                                <a:pt x="66099" y="488653"/>
                                <a:pt x="51764" y="564257"/>
                                <a:pt x="47625" y="571500"/>
                              </a:cubicBezTo>
                              <a:cubicBezTo>
                                <a:pt x="40942" y="583196"/>
                                <a:pt x="27674" y="589727"/>
                                <a:pt x="19050" y="600075"/>
                              </a:cubicBezTo>
                              <a:cubicBezTo>
                                <a:pt x="11721" y="608869"/>
                                <a:pt x="6350" y="619125"/>
                                <a:pt x="0" y="628650"/>
                              </a:cubicBezTo>
                              <a:cubicBezTo>
                                <a:pt x="3175" y="638175"/>
                                <a:pt x="2425" y="650125"/>
                                <a:pt x="9525" y="657225"/>
                              </a:cubicBezTo>
                              <a:cubicBezTo>
                                <a:pt x="16625" y="664325"/>
                                <a:pt x="28872" y="662795"/>
                                <a:pt x="38100" y="666750"/>
                              </a:cubicBezTo>
                              <a:cubicBezTo>
                                <a:pt x="51151" y="672343"/>
                                <a:pt x="64024" y="678495"/>
                                <a:pt x="76200" y="685800"/>
                              </a:cubicBezTo>
                              <a:cubicBezTo>
                                <a:pt x="95833" y="697580"/>
                                <a:pt x="133350" y="723900"/>
                                <a:pt x="133350" y="723900"/>
                              </a:cubicBezTo>
                              <a:cubicBezTo>
                                <a:pt x="139700" y="742950"/>
                                <a:pt x="141261" y="764342"/>
                                <a:pt x="152400" y="781050"/>
                              </a:cubicBezTo>
                              <a:cubicBezTo>
                                <a:pt x="158750" y="790575"/>
                                <a:pt x="166801" y="799164"/>
                                <a:pt x="171450" y="809625"/>
                              </a:cubicBezTo>
                              <a:cubicBezTo>
                                <a:pt x="192377" y="856711"/>
                                <a:pt x="177899" y="867899"/>
                                <a:pt x="219075" y="895350"/>
                              </a:cubicBezTo>
                              <a:cubicBezTo>
                                <a:pt x="227429" y="900919"/>
                                <a:pt x="238125" y="901700"/>
                                <a:pt x="247650" y="904875"/>
                              </a:cubicBezTo>
                              <a:cubicBezTo>
                                <a:pt x="266700" y="901700"/>
                                <a:pt x="286064" y="890666"/>
                                <a:pt x="304800" y="895350"/>
                              </a:cubicBezTo>
                              <a:cubicBezTo>
                                <a:pt x="327012" y="900903"/>
                                <a:pt x="361950" y="933450"/>
                                <a:pt x="361950" y="933450"/>
                              </a:cubicBezTo>
                              <a:cubicBezTo>
                                <a:pt x="393700" y="930275"/>
                                <a:pt x="427213" y="934829"/>
                                <a:pt x="457200" y="923925"/>
                              </a:cubicBezTo>
                              <a:cubicBezTo>
                                <a:pt x="466636" y="920494"/>
                                <a:pt x="459625" y="902450"/>
                                <a:pt x="466725" y="895350"/>
                              </a:cubicBezTo>
                              <a:cubicBezTo>
                                <a:pt x="473825" y="888250"/>
                                <a:pt x="485775" y="889000"/>
                                <a:pt x="495300" y="885825"/>
                              </a:cubicBezTo>
                              <a:cubicBezTo>
                                <a:pt x="504825" y="889000"/>
                                <a:pt x="516775" y="888250"/>
                                <a:pt x="523875" y="895350"/>
                              </a:cubicBezTo>
                              <a:cubicBezTo>
                                <a:pt x="533915" y="905390"/>
                                <a:pt x="530225" y="927100"/>
                                <a:pt x="542925" y="933450"/>
                              </a:cubicBezTo>
                              <a:cubicBezTo>
                                <a:pt x="554634" y="939304"/>
                                <a:pt x="568438" y="927521"/>
                                <a:pt x="581025" y="923925"/>
                              </a:cubicBezTo>
                              <a:cubicBezTo>
                                <a:pt x="590679" y="921167"/>
                                <a:pt x="599946" y="917158"/>
                                <a:pt x="609600" y="914400"/>
                              </a:cubicBezTo>
                              <a:cubicBezTo>
                                <a:pt x="693321" y="890480"/>
                                <a:pt x="607762" y="918188"/>
                                <a:pt x="676275" y="895350"/>
                              </a:cubicBezTo>
                              <a:cubicBezTo>
                                <a:pt x="746204" y="918660"/>
                                <a:pt x="719226" y="900201"/>
                                <a:pt x="762000" y="942975"/>
                              </a:cubicBezTo>
                              <a:cubicBezTo>
                                <a:pt x="768350" y="962025"/>
                                <a:pt x="769911" y="983417"/>
                                <a:pt x="781050" y="1000125"/>
                              </a:cubicBezTo>
                              <a:cubicBezTo>
                                <a:pt x="787400" y="1009650"/>
                                <a:pt x="794980" y="1018461"/>
                                <a:pt x="800100" y="1028700"/>
                              </a:cubicBezTo>
                              <a:cubicBezTo>
                                <a:pt x="804590" y="1037680"/>
                                <a:pt x="802525" y="1050175"/>
                                <a:pt x="809625" y="1057275"/>
                              </a:cubicBezTo>
                              <a:cubicBezTo>
                                <a:pt x="825814" y="1073464"/>
                                <a:pt x="845055" y="1088135"/>
                                <a:pt x="866775" y="1095375"/>
                              </a:cubicBezTo>
                              <a:lnTo>
                                <a:pt x="923925" y="1114425"/>
                              </a:lnTo>
                              <a:cubicBezTo>
                                <a:pt x="947117" y="1109787"/>
                                <a:pt x="987689" y="1116007"/>
                                <a:pt x="981075" y="1076325"/>
                              </a:cubicBezTo>
                              <a:cubicBezTo>
                                <a:pt x="979193" y="1065033"/>
                                <a:pt x="968375" y="1057275"/>
                                <a:pt x="962025" y="1047750"/>
                              </a:cubicBezTo>
                              <a:cubicBezTo>
                                <a:pt x="965200" y="1035050"/>
                                <a:pt x="958920" y="1013094"/>
                                <a:pt x="971550" y="1009650"/>
                              </a:cubicBezTo>
                              <a:cubicBezTo>
                                <a:pt x="1042126" y="990402"/>
                                <a:pt x="1061408" y="1015131"/>
                                <a:pt x="1104900" y="1047750"/>
                              </a:cubicBezTo>
                              <a:cubicBezTo>
                                <a:pt x="1108075" y="1057275"/>
                                <a:pt x="1111990" y="1066585"/>
                                <a:pt x="1114425" y="1076325"/>
                              </a:cubicBezTo>
                              <a:cubicBezTo>
                                <a:pt x="1121525" y="1104723"/>
                                <a:pt x="1112777" y="1141352"/>
                                <a:pt x="1133475" y="1162050"/>
                              </a:cubicBezTo>
                              <a:cubicBezTo>
                                <a:pt x="1147131" y="1175706"/>
                                <a:pt x="1171575" y="1155700"/>
                                <a:pt x="1190625" y="1152525"/>
                              </a:cubicBezTo>
                              <a:cubicBezTo>
                                <a:pt x="1193800" y="1130300"/>
                                <a:pt x="1191032" y="1106366"/>
                                <a:pt x="1200150" y="1085850"/>
                              </a:cubicBezTo>
                              <a:cubicBezTo>
                                <a:pt x="1204799" y="1075389"/>
                                <a:pt x="1217308" y="1067635"/>
                                <a:pt x="1228725" y="1066800"/>
                              </a:cubicBezTo>
                              <a:cubicBezTo>
                                <a:pt x="1349095" y="1057992"/>
                                <a:pt x="1470025" y="1060450"/>
                                <a:pt x="1590675" y="1057275"/>
                              </a:cubicBezTo>
                              <a:cubicBezTo>
                                <a:pt x="1577975" y="1047750"/>
                                <a:pt x="1566774" y="1035800"/>
                                <a:pt x="1552575" y="1028700"/>
                              </a:cubicBezTo>
                              <a:cubicBezTo>
                                <a:pt x="1540866" y="1022846"/>
                                <a:pt x="1525367" y="1026437"/>
                                <a:pt x="1514475" y="1019175"/>
                              </a:cubicBezTo>
                              <a:cubicBezTo>
                                <a:pt x="1504950" y="1012825"/>
                                <a:pt x="1501775" y="1000125"/>
                                <a:pt x="1495425" y="990600"/>
                              </a:cubicBezTo>
                              <a:cubicBezTo>
                                <a:pt x="1498600" y="968375"/>
                                <a:pt x="1494910" y="944005"/>
                                <a:pt x="1504950" y="923925"/>
                              </a:cubicBezTo>
                              <a:cubicBezTo>
                                <a:pt x="1509440" y="914945"/>
                                <a:pt x="1523621" y="916051"/>
                                <a:pt x="1533525" y="914400"/>
                              </a:cubicBezTo>
                              <a:cubicBezTo>
                                <a:pt x="1561885" y="909673"/>
                                <a:pt x="1590675" y="908050"/>
                                <a:pt x="1619250" y="904875"/>
                              </a:cubicBezTo>
                              <a:cubicBezTo>
                                <a:pt x="1644650" y="887942"/>
                                <a:pt x="1654175" y="886883"/>
                                <a:pt x="1666875" y="857250"/>
                              </a:cubicBezTo>
                              <a:cubicBezTo>
                                <a:pt x="1688802" y="806087"/>
                                <a:pt x="1656337" y="825838"/>
                                <a:pt x="1704975" y="809625"/>
                              </a:cubicBezTo>
                              <a:cubicBezTo>
                                <a:pt x="1629145" y="759072"/>
                                <a:pt x="1670490" y="774763"/>
                                <a:pt x="1581150" y="762000"/>
                              </a:cubicBezTo>
                              <a:cubicBezTo>
                                <a:pt x="1562100" y="749300"/>
                                <a:pt x="1545720" y="716660"/>
                                <a:pt x="1524000" y="723900"/>
                              </a:cubicBezTo>
                              <a:cubicBezTo>
                                <a:pt x="1514475" y="727075"/>
                                <a:pt x="1504405" y="728935"/>
                                <a:pt x="1495425" y="733425"/>
                              </a:cubicBezTo>
                              <a:cubicBezTo>
                                <a:pt x="1485186" y="738545"/>
                                <a:pt x="1477372" y="747966"/>
                                <a:pt x="1466850" y="752475"/>
                              </a:cubicBezTo>
                              <a:cubicBezTo>
                                <a:pt x="1454818" y="757632"/>
                                <a:pt x="1441450" y="758825"/>
                                <a:pt x="1428750" y="762000"/>
                              </a:cubicBezTo>
                              <a:cubicBezTo>
                                <a:pt x="1405419" y="777554"/>
                                <a:pt x="1392829" y="790575"/>
                                <a:pt x="1362075" y="790575"/>
                              </a:cubicBezTo>
                              <a:cubicBezTo>
                                <a:pt x="1345886" y="790575"/>
                                <a:pt x="1330325" y="784225"/>
                                <a:pt x="1314450" y="781050"/>
                              </a:cubicBezTo>
                              <a:lnTo>
                                <a:pt x="1257300" y="742950"/>
                              </a:lnTo>
                              <a:cubicBezTo>
                                <a:pt x="1238035" y="730107"/>
                                <a:pt x="1224093" y="717192"/>
                                <a:pt x="1200150" y="714375"/>
                              </a:cubicBezTo>
                              <a:cubicBezTo>
                                <a:pt x="1155892" y="709168"/>
                                <a:pt x="1111250" y="708025"/>
                                <a:pt x="1066800" y="704850"/>
                              </a:cubicBezTo>
                              <a:cubicBezTo>
                                <a:pt x="1050458" y="639483"/>
                                <a:pt x="1067136" y="633581"/>
                                <a:pt x="1019175" y="609600"/>
                              </a:cubicBezTo>
                              <a:cubicBezTo>
                                <a:pt x="1010195" y="605110"/>
                                <a:pt x="1000125" y="603250"/>
                                <a:pt x="990600" y="600075"/>
                              </a:cubicBezTo>
                              <a:cubicBezTo>
                                <a:pt x="915128" y="625232"/>
                                <a:pt x="953257" y="622426"/>
                                <a:pt x="876300" y="609600"/>
                              </a:cubicBezTo>
                              <a:cubicBezTo>
                                <a:pt x="873125" y="587375"/>
                                <a:pt x="871823" y="564801"/>
                                <a:pt x="866775" y="542925"/>
                              </a:cubicBezTo>
                              <a:cubicBezTo>
                                <a:pt x="848231" y="462566"/>
                                <a:pt x="856687" y="486895"/>
                                <a:pt x="771525" y="476250"/>
                              </a:cubicBezTo>
                              <a:cubicBezTo>
                                <a:pt x="716930" y="394358"/>
                                <a:pt x="782385" y="497970"/>
                                <a:pt x="742950" y="419100"/>
                              </a:cubicBezTo>
                              <a:cubicBezTo>
                                <a:pt x="737830" y="408861"/>
                                <a:pt x="734529" y="394777"/>
                                <a:pt x="723900" y="390525"/>
                              </a:cubicBezTo>
                              <a:cubicBezTo>
                                <a:pt x="700133" y="381018"/>
                                <a:pt x="673100" y="384175"/>
                                <a:pt x="647700" y="381000"/>
                              </a:cubicBezTo>
                              <a:cubicBezTo>
                                <a:pt x="660963" y="367737"/>
                                <a:pt x="688694" y="343742"/>
                                <a:pt x="695325" y="323850"/>
                              </a:cubicBezTo>
                              <a:cubicBezTo>
                                <a:pt x="701432" y="305528"/>
                                <a:pt x="701675" y="285750"/>
                                <a:pt x="704850" y="266700"/>
                              </a:cubicBezTo>
                              <a:cubicBezTo>
                                <a:pt x="701675" y="257175"/>
                                <a:pt x="704305" y="242615"/>
                                <a:pt x="695325" y="238125"/>
                              </a:cubicBezTo>
                              <a:cubicBezTo>
                                <a:pt x="675245" y="228085"/>
                                <a:pt x="650566" y="233470"/>
                                <a:pt x="628650" y="228600"/>
                              </a:cubicBezTo>
                              <a:cubicBezTo>
                                <a:pt x="621720" y="227060"/>
                                <a:pt x="606425" y="228600"/>
                                <a:pt x="600075" y="219075"/>
                              </a:cubicBezTo>
                              <a:close/>
                            </a:path>
                          </a:pathLst>
                        </a:cu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1"/>
                            <a:t>          </a:t>
                          </a:r>
                        </a:p>
                        <a:p>
                          <a:pPr algn="l"/>
                          <a:r>
                            <a:rPr lang="es-ES" sz="1100" b="1"/>
                            <a:t>         </a:t>
                          </a:r>
                        </a:p>
                        <a:p>
                          <a:pPr algn="l"/>
                          <a:r>
                            <a:rPr lang="es-ES" sz="1100" b="1"/>
                            <a:t>         Duarte</a:t>
                          </a:r>
                        </a:p>
                        <a:p>
                          <a:pPr algn="l"/>
                          <a:r>
                            <a:rPr lang="es-ES" sz="1100" b="1"/>
                            <a:t>          42,654</a:t>
                          </a:r>
                        </a:p>
                        <a:p>
                          <a:pPr algn="l"/>
                          <a:r>
                            <a:rPr lang="es-ES" sz="1100" b="1"/>
                            <a:t>           1.5%</a:t>
                          </a:r>
                        </a:p>
                        <a:p>
                          <a:pPr algn="l"/>
                          <a:r>
                            <a:rPr lang="es-ES" sz="1100" b="1"/>
                            <a:t>            </a:t>
                          </a:r>
                        </a:p>
                      </xdr:txBody>
                    </xdr:sp>
                  </xdr:grpSp>
                  <xdr:sp macro="" textlink="">
                    <xdr:nvSpPr>
                      <xdr:cNvPr id="27" name="Forma libre 26"/>
                      <xdr:cNvSpPr/>
                    </xdr:nvSpPr>
                    <xdr:spPr>
                      <a:xfrm>
                        <a:off x="4331661" y="672755"/>
                        <a:ext cx="1012433" cy="1178952"/>
                      </a:xfrm>
                      <a:custGeom>
                        <a:avLst/>
                        <a:gdLst>
                          <a:gd name="connsiteX0" fmla="*/ 1002339 w 1012433"/>
                          <a:gd name="connsiteY0" fmla="*/ 1146520 h 1178952"/>
                          <a:gd name="connsiteX1" fmla="*/ 1002339 w 1012433"/>
                          <a:gd name="connsiteY1" fmla="*/ 994120 h 1178952"/>
                          <a:gd name="connsiteX2" fmla="*/ 973764 w 1012433"/>
                          <a:gd name="connsiteY2" fmla="*/ 984595 h 1178952"/>
                          <a:gd name="connsiteX3" fmla="*/ 916614 w 1012433"/>
                          <a:gd name="connsiteY3" fmla="*/ 936970 h 1178952"/>
                          <a:gd name="connsiteX4" fmla="*/ 878514 w 1012433"/>
                          <a:gd name="connsiteY4" fmla="*/ 879820 h 1178952"/>
                          <a:gd name="connsiteX5" fmla="*/ 859464 w 1012433"/>
                          <a:gd name="connsiteY5" fmla="*/ 851245 h 1178952"/>
                          <a:gd name="connsiteX6" fmla="*/ 830889 w 1012433"/>
                          <a:gd name="connsiteY6" fmla="*/ 832195 h 1178952"/>
                          <a:gd name="connsiteX7" fmla="*/ 754689 w 1012433"/>
                          <a:gd name="connsiteY7" fmla="*/ 746470 h 1178952"/>
                          <a:gd name="connsiteX8" fmla="*/ 726114 w 1012433"/>
                          <a:gd name="connsiteY8" fmla="*/ 736945 h 1178952"/>
                          <a:gd name="connsiteX9" fmla="*/ 716589 w 1012433"/>
                          <a:gd name="connsiteY9" fmla="*/ 708370 h 1178952"/>
                          <a:gd name="connsiteX10" fmla="*/ 697539 w 1012433"/>
                          <a:gd name="connsiteY10" fmla="*/ 679795 h 1178952"/>
                          <a:gd name="connsiteX11" fmla="*/ 668964 w 1012433"/>
                          <a:gd name="connsiteY11" fmla="*/ 517870 h 1178952"/>
                          <a:gd name="connsiteX12" fmla="*/ 678489 w 1012433"/>
                          <a:gd name="connsiteY12" fmla="*/ 451195 h 1178952"/>
                          <a:gd name="connsiteX13" fmla="*/ 668964 w 1012433"/>
                          <a:gd name="connsiteY13" fmla="*/ 422620 h 1178952"/>
                          <a:gd name="connsiteX14" fmla="*/ 621339 w 1012433"/>
                          <a:gd name="connsiteY14" fmla="*/ 365470 h 1178952"/>
                          <a:gd name="connsiteX15" fmla="*/ 649914 w 1012433"/>
                          <a:gd name="connsiteY15" fmla="*/ 289270 h 1178952"/>
                          <a:gd name="connsiteX16" fmla="*/ 659439 w 1012433"/>
                          <a:gd name="connsiteY16" fmla="*/ 251170 h 1178952"/>
                          <a:gd name="connsiteX17" fmla="*/ 678489 w 1012433"/>
                          <a:gd name="connsiteY17" fmla="*/ 213070 h 1178952"/>
                          <a:gd name="connsiteX18" fmla="*/ 668964 w 1012433"/>
                          <a:gd name="connsiteY18" fmla="*/ 165445 h 1178952"/>
                          <a:gd name="connsiteX19" fmla="*/ 640389 w 1012433"/>
                          <a:gd name="connsiteY19" fmla="*/ 146395 h 1178952"/>
                          <a:gd name="connsiteX20" fmla="*/ 611814 w 1012433"/>
                          <a:gd name="connsiteY20" fmla="*/ 117820 h 1178952"/>
                          <a:gd name="connsiteX21" fmla="*/ 583239 w 1012433"/>
                          <a:gd name="connsiteY21" fmla="*/ 60670 h 1178952"/>
                          <a:gd name="connsiteX22" fmla="*/ 487989 w 1012433"/>
                          <a:gd name="connsiteY22" fmla="*/ 32095 h 1178952"/>
                          <a:gd name="connsiteX23" fmla="*/ 459414 w 1012433"/>
                          <a:gd name="connsiteY23" fmla="*/ 13045 h 1178952"/>
                          <a:gd name="connsiteX24" fmla="*/ 268914 w 1012433"/>
                          <a:gd name="connsiteY24" fmla="*/ 13045 h 1178952"/>
                          <a:gd name="connsiteX25" fmla="*/ 240339 w 1012433"/>
                          <a:gd name="connsiteY25" fmla="*/ 32095 h 1178952"/>
                          <a:gd name="connsiteX26" fmla="*/ 230814 w 1012433"/>
                          <a:gd name="connsiteY26" fmla="*/ 60670 h 1178952"/>
                          <a:gd name="connsiteX27" fmla="*/ 211764 w 1012433"/>
                          <a:gd name="connsiteY27" fmla="*/ 89245 h 1178952"/>
                          <a:gd name="connsiteX28" fmla="*/ 278439 w 1012433"/>
                          <a:gd name="connsiteY28" fmla="*/ 136870 h 1178952"/>
                          <a:gd name="connsiteX29" fmla="*/ 307014 w 1012433"/>
                          <a:gd name="connsiteY29" fmla="*/ 146395 h 1178952"/>
                          <a:gd name="connsiteX30" fmla="*/ 278439 w 1012433"/>
                          <a:gd name="connsiteY30" fmla="*/ 213070 h 1178952"/>
                          <a:gd name="connsiteX31" fmla="*/ 249864 w 1012433"/>
                          <a:gd name="connsiteY31" fmla="*/ 232120 h 1178952"/>
                          <a:gd name="connsiteX32" fmla="*/ 240339 w 1012433"/>
                          <a:gd name="connsiteY32" fmla="*/ 270220 h 1178952"/>
                          <a:gd name="connsiteX33" fmla="*/ 173664 w 1012433"/>
                          <a:gd name="connsiteY33" fmla="*/ 298795 h 1178952"/>
                          <a:gd name="connsiteX34" fmla="*/ 40314 w 1012433"/>
                          <a:gd name="connsiteY34" fmla="*/ 289270 h 1178952"/>
                          <a:gd name="connsiteX35" fmla="*/ 2214 w 1012433"/>
                          <a:gd name="connsiteY35" fmla="*/ 298795 h 1178952"/>
                          <a:gd name="connsiteX36" fmla="*/ 11739 w 1012433"/>
                          <a:gd name="connsiteY36" fmla="*/ 355945 h 1178952"/>
                          <a:gd name="connsiteX37" fmla="*/ 21264 w 1012433"/>
                          <a:gd name="connsiteY37" fmla="*/ 422620 h 1178952"/>
                          <a:gd name="connsiteX38" fmla="*/ 49839 w 1012433"/>
                          <a:gd name="connsiteY38" fmla="*/ 432145 h 1178952"/>
                          <a:gd name="connsiteX39" fmla="*/ 106989 w 1012433"/>
                          <a:gd name="connsiteY39" fmla="*/ 441670 h 1178952"/>
                          <a:gd name="connsiteX40" fmla="*/ 116514 w 1012433"/>
                          <a:gd name="connsiteY40" fmla="*/ 536920 h 1178952"/>
                          <a:gd name="connsiteX41" fmla="*/ 135564 w 1012433"/>
                          <a:gd name="connsiteY41" fmla="*/ 594070 h 1178952"/>
                          <a:gd name="connsiteX42" fmla="*/ 145089 w 1012433"/>
                          <a:gd name="connsiteY42" fmla="*/ 622645 h 1178952"/>
                          <a:gd name="connsiteX43" fmla="*/ 221289 w 1012433"/>
                          <a:gd name="connsiteY43" fmla="*/ 622645 h 1178952"/>
                          <a:gd name="connsiteX44" fmla="*/ 230814 w 1012433"/>
                          <a:gd name="connsiteY44" fmla="*/ 651220 h 1178952"/>
                          <a:gd name="connsiteX45" fmla="*/ 230814 w 1012433"/>
                          <a:gd name="connsiteY45" fmla="*/ 717895 h 1178952"/>
                          <a:gd name="connsiteX46" fmla="*/ 240339 w 1012433"/>
                          <a:gd name="connsiteY46" fmla="*/ 775045 h 1178952"/>
                          <a:gd name="connsiteX47" fmla="*/ 268914 w 1012433"/>
                          <a:gd name="connsiteY47" fmla="*/ 794095 h 1178952"/>
                          <a:gd name="connsiteX48" fmla="*/ 326064 w 1012433"/>
                          <a:gd name="connsiteY48" fmla="*/ 870295 h 1178952"/>
                          <a:gd name="connsiteX49" fmla="*/ 392739 w 1012433"/>
                          <a:gd name="connsiteY49" fmla="*/ 879820 h 1178952"/>
                          <a:gd name="connsiteX50" fmla="*/ 402264 w 1012433"/>
                          <a:gd name="connsiteY50" fmla="*/ 917920 h 1178952"/>
                          <a:gd name="connsiteX51" fmla="*/ 449889 w 1012433"/>
                          <a:gd name="connsiteY51" fmla="*/ 1003645 h 1178952"/>
                          <a:gd name="connsiteX52" fmla="*/ 535614 w 1012433"/>
                          <a:gd name="connsiteY52" fmla="*/ 994120 h 1178952"/>
                          <a:gd name="connsiteX53" fmla="*/ 573714 w 1012433"/>
                          <a:gd name="connsiteY53" fmla="*/ 1051270 h 1178952"/>
                          <a:gd name="connsiteX54" fmla="*/ 630864 w 1012433"/>
                          <a:gd name="connsiteY54" fmla="*/ 1079845 h 1178952"/>
                          <a:gd name="connsiteX55" fmla="*/ 640389 w 1012433"/>
                          <a:gd name="connsiteY55" fmla="*/ 1108420 h 1178952"/>
                          <a:gd name="connsiteX56" fmla="*/ 678489 w 1012433"/>
                          <a:gd name="connsiteY56" fmla="*/ 1098895 h 1178952"/>
                          <a:gd name="connsiteX57" fmla="*/ 707064 w 1012433"/>
                          <a:gd name="connsiteY57" fmla="*/ 1108420 h 1178952"/>
                          <a:gd name="connsiteX58" fmla="*/ 745164 w 1012433"/>
                          <a:gd name="connsiteY58" fmla="*/ 1117945 h 1178952"/>
                          <a:gd name="connsiteX59" fmla="*/ 773739 w 1012433"/>
                          <a:gd name="connsiteY59" fmla="*/ 1136995 h 1178952"/>
                          <a:gd name="connsiteX60" fmla="*/ 792789 w 1012433"/>
                          <a:gd name="connsiteY60" fmla="*/ 1165570 h 1178952"/>
                          <a:gd name="connsiteX61" fmla="*/ 821364 w 1012433"/>
                          <a:gd name="connsiteY61" fmla="*/ 1175095 h 1178952"/>
                          <a:gd name="connsiteX62" fmla="*/ 973764 w 1012433"/>
                          <a:gd name="connsiteY62" fmla="*/ 1136995 h 1178952"/>
                          <a:gd name="connsiteX63" fmla="*/ 1002339 w 1012433"/>
                          <a:gd name="connsiteY63" fmla="*/ 1146520 h 11789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Lst>
                        <a:rect l="l" t="t" r="r" b="b"/>
                        <a:pathLst>
                          <a:path w="1012433" h="1178952">
                            <a:moveTo>
                              <a:pt x="1002339" y="1146520"/>
                            </a:moveTo>
                            <a:cubicBezTo>
                              <a:pt x="1007101" y="1122708"/>
                              <a:pt x="1022452" y="1029318"/>
                              <a:pt x="1002339" y="994120"/>
                            </a:cubicBezTo>
                            <a:cubicBezTo>
                              <a:pt x="997358" y="985403"/>
                              <a:pt x="983289" y="987770"/>
                              <a:pt x="973764" y="984595"/>
                            </a:cubicBezTo>
                            <a:cubicBezTo>
                              <a:pt x="907866" y="885747"/>
                              <a:pt x="1013292" y="1033648"/>
                              <a:pt x="916614" y="936970"/>
                            </a:cubicBezTo>
                            <a:cubicBezTo>
                              <a:pt x="900425" y="920781"/>
                              <a:pt x="891214" y="898870"/>
                              <a:pt x="878514" y="879820"/>
                            </a:cubicBezTo>
                            <a:cubicBezTo>
                              <a:pt x="872164" y="870295"/>
                              <a:pt x="868989" y="857595"/>
                              <a:pt x="859464" y="851245"/>
                            </a:cubicBezTo>
                            <a:lnTo>
                              <a:pt x="830889" y="832195"/>
                            </a:lnTo>
                            <a:cubicBezTo>
                              <a:pt x="799630" y="785307"/>
                              <a:pt x="800256" y="772508"/>
                              <a:pt x="754689" y="746470"/>
                            </a:cubicBezTo>
                            <a:cubicBezTo>
                              <a:pt x="745972" y="741489"/>
                              <a:pt x="735639" y="740120"/>
                              <a:pt x="726114" y="736945"/>
                            </a:cubicBezTo>
                            <a:cubicBezTo>
                              <a:pt x="722939" y="727420"/>
                              <a:pt x="721079" y="717350"/>
                              <a:pt x="716589" y="708370"/>
                            </a:cubicBezTo>
                            <a:cubicBezTo>
                              <a:pt x="711469" y="698131"/>
                              <a:pt x="701159" y="690655"/>
                              <a:pt x="697539" y="679795"/>
                            </a:cubicBezTo>
                            <a:cubicBezTo>
                              <a:pt x="680317" y="628129"/>
                              <a:pt x="675665" y="571481"/>
                              <a:pt x="668964" y="517870"/>
                            </a:cubicBezTo>
                            <a:cubicBezTo>
                              <a:pt x="672139" y="495645"/>
                              <a:pt x="678489" y="473646"/>
                              <a:pt x="678489" y="451195"/>
                            </a:cubicBezTo>
                            <a:cubicBezTo>
                              <a:pt x="678489" y="441155"/>
                              <a:pt x="673454" y="431600"/>
                              <a:pt x="668964" y="422620"/>
                            </a:cubicBezTo>
                            <a:cubicBezTo>
                              <a:pt x="655703" y="396098"/>
                              <a:pt x="642405" y="386536"/>
                              <a:pt x="621339" y="365470"/>
                            </a:cubicBezTo>
                            <a:cubicBezTo>
                              <a:pt x="645497" y="244681"/>
                              <a:pt x="613124" y="375113"/>
                              <a:pt x="649914" y="289270"/>
                            </a:cubicBezTo>
                            <a:cubicBezTo>
                              <a:pt x="655071" y="277238"/>
                              <a:pt x="654842" y="263427"/>
                              <a:pt x="659439" y="251170"/>
                            </a:cubicBezTo>
                            <a:cubicBezTo>
                              <a:pt x="664425" y="237875"/>
                              <a:pt x="672139" y="225770"/>
                              <a:pt x="678489" y="213070"/>
                            </a:cubicBezTo>
                            <a:cubicBezTo>
                              <a:pt x="675314" y="197195"/>
                              <a:pt x="676996" y="179501"/>
                              <a:pt x="668964" y="165445"/>
                            </a:cubicBezTo>
                            <a:cubicBezTo>
                              <a:pt x="663284" y="155506"/>
                              <a:pt x="649183" y="153724"/>
                              <a:pt x="640389" y="146395"/>
                            </a:cubicBezTo>
                            <a:cubicBezTo>
                              <a:pt x="630041" y="137771"/>
                              <a:pt x="621339" y="127345"/>
                              <a:pt x="611814" y="117820"/>
                            </a:cubicBezTo>
                            <a:cubicBezTo>
                              <a:pt x="606624" y="102250"/>
                              <a:pt x="598788" y="70388"/>
                              <a:pt x="583239" y="60670"/>
                            </a:cubicBezTo>
                            <a:cubicBezTo>
                              <a:pt x="567779" y="51008"/>
                              <a:pt x="510295" y="37671"/>
                              <a:pt x="487989" y="32095"/>
                            </a:cubicBezTo>
                            <a:cubicBezTo>
                              <a:pt x="478464" y="25745"/>
                              <a:pt x="469653" y="18165"/>
                              <a:pt x="459414" y="13045"/>
                            </a:cubicBezTo>
                            <a:cubicBezTo>
                              <a:pt x="403366" y="-14979"/>
                              <a:pt x="312585" y="10476"/>
                              <a:pt x="268914" y="13045"/>
                            </a:cubicBezTo>
                            <a:cubicBezTo>
                              <a:pt x="259389" y="19395"/>
                              <a:pt x="247490" y="23156"/>
                              <a:pt x="240339" y="32095"/>
                            </a:cubicBezTo>
                            <a:cubicBezTo>
                              <a:pt x="234067" y="39935"/>
                              <a:pt x="235304" y="51690"/>
                              <a:pt x="230814" y="60670"/>
                            </a:cubicBezTo>
                            <a:cubicBezTo>
                              <a:pt x="225694" y="70909"/>
                              <a:pt x="218114" y="79720"/>
                              <a:pt x="211764" y="89245"/>
                            </a:cubicBezTo>
                            <a:cubicBezTo>
                              <a:pt x="227639" y="136870"/>
                              <a:pt x="211764" y="114645"/>
                              <a:pt x="278439" y="136870"/>
                            </a:cubicBezTo>
                            <a:lnTo>
                              <a:pt x="307014" y="146395"/>
                            </a:lnTo>
                            <a:cubicBezTo>
                              <a:pt x="299727" y="175542"/>
                              <a:pt x="300365" y="191144"/>
                              <a:pt x="278439" y="213070"/>
                            </a:cubicBezTo>
                            <a:cubicBezTo>
                              <a:pt x="270344" y="221165"/>
                              <a:pt x="259389" y="225770"/>
                              <a:pt x="249864" y="232120"/>
                            </a:cubicBezTo>
                            <a:cubicBezTo>
                              <a:pt x="246689" y="244820"/>
                              <a:pt x="247601" y="259328"/>
                              <a:pt x="240339" y="270220"/>
                            </a:cubicBezTo>
                            <a:cubicBezTo>
                              <a:pt x="227183" y="289954"/>
                              <a:pt x="192781" y="294016"/>
                              <a:pt x="173664" y="298795"/>
                            </a:cubicBezTo>
                            <a:cubicBezTo>
                              <a:pt x="129214" y="295620"/>
                              <a:pt x="84877" y="289270"/>
                              <a:pt x="40314" y="289270"/>
                            </a:cubicBezTo>
                            <a:cubicBezTo>
                              <a:pt x="27223" y="289270"/>
                              <a:pt x="7371" y="286763"/>
                              <a:pt x="2214" y="298795"/>
                            </a:cubicBezTo>
                            <a:cubicBezTo>
                              <a:pt x="-5394" y="316546"/>
                              <a:pt x="8802" y="336857"/>
                              <a:pt x="11739" y="355945"/>
                            </a:cubicBezTo>
                            <a:cubicBezTo>
                              <a:pt x="15153" y="378135"/>
                              <a:pt x="11224" y="402540"/>
                              <a:pt x="21264" y="422620"/>
                            </a:cubicBezTo>
                            <a:cubicBezTo>
                              <a:pt x="25754" y="431600"/>
                              <a:pt x="40038" y="429967"/>
                              <a:pt x="49839" y="432145"/>
                            </a:cubicBezTo>
                            <a:cubicBezTo>
                              <a:pt x="68692" y="436335"/>
                              <a:pt x="87939" y="438495"/>
                              <a:pt x="106989" y="441670"/>
                            </a:cubicBezTo>
                            <a:cubicBezTo>
                              <a:pt x="110164" y="473420"/>
                              <a:pt x="110634" y="505558"/>
                              <a:pt x="116514" y="536920"/>
                            </a:cubicBezTo>
                            <a:cubicBezTo>
                              <a:pt x="120215" y="556657"/>
                              <a:pt x="129214" y="575020"/>
                              <a:pt x="135564" y="594070"/>
                            </a:cubicBezTo>
                            <a:lnTo>
                              <a:pt x="145089" y="622645"/>
                            </a:lnTo>
                            <a:cubicBezTo>
                              <a:pt x="163203" y="619022"/>
                              <a:pt x="201763" y="603119"/>
                              <a:pt x="221289" y="622645"/>
                            </a:cubicBezTo>
                            <a:cubicBezTo>
                              <a:pt x="228389" y="629745"/>
                              <a:pt x="227639" y="641695"/>
                              <a:pt x="230814" y="651220"/>
                            </a:cubicBezTo>
                            <a:cubicBezTo>
                              <a:pt x="216003" y="695654"/>
                              <a:pt x="220349" y="665570"/>
                              <a:pt x="230814" y="717895"/>
                            </a:cubicBezTo>
                            <a:cubicBezTo>
                              <a:pt x="234602" y="736833"/>
                              <a:pt x="231702" y="757771"/>
                              <a:pt x="240339" y="775045"/>
                            </a:cubicBezTo>
                            <a:cubicBezTo>
                              <a:pt x="245459" y="785284"/>
                              <a:pt x="259389" y="787745"/>
                              <a:pt x="268914" y="794095"/>
                            </a:cubicBezTo>
                            <a:cubicBezTo>
                              <a:pt x="285847" y="844895"/>
                              <a:pt x="274675" y="856280"/>
                              <a:pt x="326064" y="870295"/>
                            </a:cubicBezTo>
                            <a:cubicBezTo>
                              <a:pt x="347724" y="876202"/>
                              <a:pt x="370514" y="876645"/>
                              <a:pt x="392739" y="879820"/>
                            </a:cubicBezTo>
                            <a:cubicBezTo>
                              <a:pt x="395914" y="892520"/>
                              <a:pt x="396410" y="906211"/>
                              <a:pt x="402264" y="917920"/>
                            </a:cubicBezTo>
                            <a:cubicBezTo>
                              <a:pt x="467768" y="1048928"/>
                              <a:pt x="423549" y="924624"/>
                              <a:pt x="449889" y="1003645"/>
                            </a:cubicBezTo>
                            <a:cubicBezTo>
                              <a:pt x="478464" y="1000470"/>
                              <a:pt x="508780" y="983799"/>
                              <a:pt x="535614" y="994120"/>
                            </a:cubicBezTo>
                            <a:cubicBezTo>
                              <a:pt x="556983" y="1002339"/>
                              <a:pt x="551994" y="1044030"/>
                              <a:pt x="573714" y="1051270"/>
                            </a:cubicBezTo>
                            <a:cubicBezTo>
                              <a:pt x="613149" y="1064415"/>
                              <a:pt x="593935" y="1055226"/>
                              <a:pt x="630864" y="1079845"/>
                            </a:cubicBezTo>
                            <a:cubicBezTo>
                              <a:pt x="634039" y="1089370"/>
                              <a:pt x="631067" y="1104691"/>
                              <a:pt x="640389" y="1108420"/>
                            </a:cubicBezTo>
                            <a:cubicBezTo>
                              <a:pt x="652544" y="1113282"/>
                              <a:pt x="665398" y="1098895"/>
                              <a:pt x="678489" y="1098895"/>
                            </a:cubicBezTo>
                            <a:cubicBezTo>
                              <a:pt x="688529" y="1098895"/>
                              <a:pt x="697410" y="1105662"/>
                              <a:pt x="707064" y="1108420"/>
                            </a:cubicBezTo>
                            <a:cubicBezTo>
                              <a:pt x="719651" y="1112016"/>
                              <a:pt x="732464" y="1114770"/>
                              <a:pt x="745164" y="1117945"/>
                            </a:cubicBezTo>
                            <a:cubicBezTo>
                              <a:pt x="754689" y="1124295"/>
                              <a:pt x="765644" y="1128900"/>
                              <a:pt x="773739" y="1136995"/>
                            </a:cubicBezTo>
                            <a:cubicBezTo>
                              <a:pt x="781834" y="1145090"/>
                              <a:pt x="783850" y="1158419"/>
                              <a:pt x="792789" y="1165570"/>
                            </a:cubicBezTo>
                            <a:cubicBezTo>
                              <a:pt x="800629" y="1171842"/>
                              <a:pt x="811839" y="1171920"/>
                              <a:pt x="821364" y="1175095"/>
                            </a:cubicBezTo>
                            <a:cubicBezTo>
                              <a:pt x="1034793" y="1160866"/>
                              <a:pt x="936411" y="1211700"/>
                              <a:pt x="973764" y="1136995"/>
                            </a:cubicBezTo>
                            <a:cubicBezTo>
                              <a:pt x="975772" y="1132979"/>
                              <a:pt x="997577" y="1170332"/>
                              <a:pt x="1002339" y="1146520"/>
                            </a:cubicBezTo>
                            <a:close/>
                          </a:path>
                        </a:pathLst>
                      </a:custGeom>
                      <a:solidFill>
                        <a:schemeClr val="accent3">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ES" sz="1000" b="1">
                          <a:solidFill>
                            <a:sysClr val="windowText" lastClr="000000"/>
                          </a:solidFill>
                        </a:endParaRPr>
                      </a:p>
                      <a:p>
                        <a:pPr algn="ctr"/>
                        <a:r>
                          <a:rPr lang="es-ES" sz="1000" b="1">
                            <a:solidFill>
                              <a:sysClr val="windowText" lastClr="000000"/>
                            </a:solidFill>
                          </a:rPr>
                          <a:t>Maria </a:t>
                        </a:r>
                      </a:p>
                      <a:p>
                        <a:pPr algn="ctr"/>
                        <a:r>
                          <a:rPr lang="es-ES" sz="1000" b="1">
                            <a:solidFill>
                              <a:sysClr val="windowText" lastClr="000000"/>
                            </a:solidFill>
                          </a:rPr>
                          <a:t>Trinidad </a:t>
                        </a:r>
                      </a:p>
                      <a:p>
                        <a:pPr algn="ctr"/>
                        <a:r>
                          <a:rPr lang="es-ES" sz="1000" b="1">
                            <a:solidFill>
                              <a:sysClr val="windowText" lastClr="000000"/>
                            </a:solidFill>
                          </a:rPr>
                          <a:t>Sanchez</a:t>
                        </a:r>
                      </a:p>
                      <a:p>
                        <a:pPr algn="ctr"/>
                        <a:r>
                          <a:rPr lang="es-ES" sz="1000" b="1">
                            <a:solidFill>
                              <a:sysClr val="windowText" lastClr="000000"/>
                            </a:solidFill>
                          </a:rPr>
                          <a:t>16,055</a:t>
                        </a:r>
                      </a:p>
                      <a:p>
                        <a:pPr algn="ctr"/>
                        <a:r>
                          <a:rPr lang="es-ES" sz="1000" b="1">
                            <a:solidFill>
                              <a:sysClr val="windowText" lastClr="000000"/>
                            </a:solidFill>
                          </a:rPr>
                          <a:t>0.6%</a:t>
                        </a:r>
                      </a:p>
                    </xdr:txBody>
                  </xdr:sp>
                </xdr:grpSp>
                <xdr:sp macro="" textlink="">
                  <xdr:nvSpPr>
                    <xdr:cNvPr id="25" name="Forma libre 24"/>
                    <xdr:cNvSpPr/>
                  </xdr:nvSpPr>
                  <xdr:spPr>
                    <a:xfrm>
                      <a:off x="3855547" y="1971675"/>
                      <a:ext cx="1087928" cy="720687"/>
                    </a:xfrm>
                    <a:custGeom>
                      <a:avLst/>
                      <a:gdLst>
                        <a:gd name="connsiteX0" fmla="*/ 411653 w 1087928"/>
                        <a:gd name="connsiteY0" fmla="*/ 714375 h 720687"/>
                        <a:gd name="connsiteX1" fmla="*/ 602153 w 1087928"/>
                        <a:gd name="connsiteY1" fmla="*/ 676275 h 720687"/>
                        <a:gd name="connsiteX2" fmla="*/ 611678 w 1087928"/>
                        <a:gd name="connsiteY2" fmla="*/ 647700 h 720687"/>
                        <a:gd name="connsiteX3" fmla="*/ 716453 w 1087928"/>
                        <a:gd name="connsiteY3" fmla="*/ 657225 h 720687"/>
                        <a:gd name="connsiteX4" fmla="*/ 745028 w 1087928"/>
                        <a:gd name="connsiteY4" fmla="*/ 685800 h 720687"/>
                        <a:gd name="connsiteX5" fmla="*/ 811703 w 1087928"/>
                        <a:gd name="connsiteY5" fmla="*/ 676275 h 720687"/>
                        <a:gd name="connsiteX6" fmla="*/ 849803 w 1087928"/>
                        <a:gd name="connsiteY6" fmla="*/ 647700 h 720687"/>
                        <a:gd name="connsiteX7" fmla="*/ 887903 w 1087928"/>
                        <a:gd name="connsiteY7" fmla="*/ 590550 h 720687"/>
                        <a:gd name="connsiteX8" fmla="*/ 906953 w 1087928"/>
                        <a:gd name="connsiteY8" fmla="*/ 619125 h 720687"/>
                        <a:gd name="connsiteX9" fmla="*/ 1011728 w 1087928"/>
                        <a:gd name="connsiteY9" fmla="*/ 657225 h 720687"/>
                        <a:gd name="connsiteX10" fmla="*/ 1030778 w 1087928"/>
                        <a:gd name="connsiteY10" fmla="*/ 600075 h 720687"/>
                        <a:gd name="connsiteX11" fmla="*/ 1040303 w 1087928"/>
                        <a:gd name="connsiteY11" fmla="*/ 514350 h 720687"/>
                        <a:gd name="connsiteX12" fmla="*/ 1059353 w 1087928"/>
                        <a:gd name="connsiteY12" fmla="*/ 485775 h 720687"/>
                        <a:gd name="connsiteX13" fmla="*/ 1068878 w 1087928"/>
                        <a:gd name="connsiteY13" fmla="*/ 457200 h 720687"/>
                        <a:gd name="connsiteX14" fmla="*/ 1059353 w 1087928"/>
                        <a:gd name="connsiteY14" fmla="*/ 381000 h 720687"/>
                        <a:gd name="connsiteX15" fmla="*/ 1049828 w 1087928"/>
                        <a:gd name="connsiteY15" fmla="*/ 352425 h 720687"/>
                        <a:gd name="connsiteX16" fmla="*/ 1087928 w 1087928"/>
                        <a:gd name="connsiteY16" fmla="*/ 266700 h 720687"/>
                        <a:gd name="connsiteX17" fmla="*/ 1068878 w 1087928"/>
                        <a:gd name="connsiteY17" fmla="*/ 171450 h 720687"/>
                        <a:gd name="connsiteX18" fmla="*/ 1049828 w 1087928"/>
                        <a:gd name="connsiteY18" fmla="*/ 142875 h 720687"/>
                        <a:gd name="connsiteX19" fmla="*/ 1021253 w 1087928"/>
                        <a:gd name="connsiteY19" fmla="*/ 133350 h 720687"/>
                        <a:gd name="connsiteX20" fmla="*/ 964103 w 1087928"/>
                        <a:gd name="connsiteY20" fmla="*/ 142875 h 720687"/>
                        <a:gd name="connsiteX21" fmla="*/ 935528 w 1087928"/>
                        <a:gd name="connsiteY21" fmla="*/ 247650 h 720687"/>
                        <a:gd name="connsiteX22" fmla="*/ 906953 w 1087928"/>
                        <a:gd name="connsiteY22" fmla="*/ 238125 h 720687"/>
                        <a:gd name="connsiteX23" fmla="*/ 849803 w 1087928"/>
                        <a:gd name="connsiteY23" fmla="*/ 190500 h 720687"/>
                        <a:gd name="connsiteX24" fmla="*/ 792653 w 1087928"/>
                        <a:gd name="connsiteY24" fmla="*/ 171450 h 720687"/>
                        <a:gd name="connsiteX25" fmla="*/ 764078 w 1087928"/>
                        <a:gd name="connsiteY25" fmla="*/ 114300 h 720687"/>
                        <a:gd name="connsiteX26" fmla="*/ 754553 w 1087928"/>
                        <a:gd name="connsiteY26" fmla="*/ 57150 h 720687"/>
                        <a:gd name="connsiteX27" fmla="*/ 697403 w 1087928"/>
                        <a:gd name="connsiteY27" fmla="*/ 19050 h 720687"/>
                        <a:gd name="connsiteX28" fmla="*/ 516428 w 1087928"/>
                        <a:gd name="connsiteY28" fmla="*/ 19050 h 720687"/>
                        <a:gd name="connsiteX29" fmla="*/ 487853 w 1087928"/>
                        <a:gd name="connsiteY29" fmla="*/ 0 h 720687"/>
                        <a:gd name="connsiteX30" fmla="*/ 449753 w 1087928"/>
                        <a:gd name="connsiteY30" fmla="*/ 9525 h 720687"/>
                        <a:gd name="connsiteX31" fmla="*/ 421178 w 1087928"/>
                        <a:gd name="connsiteY31" fmla="*/ 38100 h 720687"/>
                        <a:gd name="connsiteX32" fmla="*/ 392603 w 1087928"/>
                        <a:gd name="connsiteY32" fmla="*/ 57150 h 720687"/>
                        <a:gd name="connsiteX33" fmla="*/ 316403 w 1087928"/>
                        <a:gd name="connsiteY33" fmla="*/ 38100 h 720687"/>
                        <a:gd name="connsiteX34" fmla="*/ 287828 w 1087928"/>
                        <a:gd name="connsiteY34" fmla="*/ 9525 h 720687"/>
                        <a:gd name="connsiteX35" fmla="*/ 230678 w 1087928"/>
                        <a:gd name="connsiteY35" fmla="*/ 38100 h 720687"/>
                        <a:gd name="connsiteX36" fmla="*/ 116378 w 1087928"/>
                        <a:gd name="connsiteY36" fmla="*/ 66675 h 720687"/>
                        <a:gd name="connsiteX37" fmla="*/ 78278 w 1087928"/>
                        <a:gd name="connsiteY37" fmla="*/ 123825 h 720687"/>
                        <a:gd name="connsiteX38" fmla="*/ 59228 w 1087928"/>
                        <a:gd name="connsiteY38" fmla="*/ 152400 h 720687"/>
                        <a:gd name="connsiteX39" fmla="*/ 2078 w 1087928"/>
                        <a:gd name="connsiteY39" fmla="*/ 238125 h 720687"/>
                        <a:gd name="connsiteX40" fmla="*/ 30653 w 1087928"/>
                        <a:gd name="connsiteY40" fmla="*/ 247650 h 720687"/>
                        <a:gd name="connsiteX41" fmla="*/ 30653 w 1087928"/>
                        <a:gd name="connsiteY41" fmla="*/ 333375 h 720687"/>
                        <a:gd name="connsiteX42" fmla="*/ 78278 w 1087928"/>
                        <a:gd name="connsiteY42" fmla="*/ 342900 h 720687"/>
                        <a:gd name="connsiteX43" fmla="*/ 87803 w 1087928"/>
                        <a:gd name="connsiteY43" fmla="*/ 371475 h 720687"/>
                        <a:gd name="connsiteX44" fmla="*/ 116378 w 1087928"/>
                        <a:gd name="connsiteY44" fmla="*/ 447675 h 720687"/>
                        <a:gd name="connsiteX45" fmla="*/ 183053 w 1087928"/>
                        <a:gd name="connsiteY45" fmla="*/ 466725 h 720687"/>
                        <a:gd name="connsiteX46" fmla="*/ 192578 w 1087928"/>
                        <a:gd name="connsiteY46" fmla="*/ 495300 h 720687"/>
                        <a:gd name="connsiteX47" fmla="*/ 202103 w 1087928"/>
                        <a:gd name="connsiteY47" fmla="*/ 561975 h 720687"/>
                        <a:gd name="connsiteX48" fmla="*/ 230678 w 1087928"/>
                        <a:gd name="connsiteY48" fmla="*/ 581025 h 720687"/>
                        <a:gd name="connsiteX49" fmla="*/ 344978 w 1087928"/>
                        <a:gd name="connsiteY49" fmla="*/ 609600 h 720687"/>
                        <a:gd name="connsiteX50" fmla="*/ 202103 w 1087928"/>
                        <a:gd name="connsiteY50" fmla="*/ 609600 h 720687"/>
                        <a:gd name="connsiteX51" fmla="*/ 278303 w 1087928"/>
                        <a:gd name="connsiteY51" fmla="*/ 600075 h 720687"/>
                        <a:gd name="connsiteX52" fmla="*/ 306878 w 1087928"/>
                        <a:gd name="connsiteY52" fmla="*/ 609600 h 720687"/>
                        <a:gd name="connsiteX53" fmla="*/ 325928 w 1087928"/>
                        <a:gd name="connsiteY53" fmla="*/ 666750 h 720687"/>
                        <a:gd name="connsiteX54" fmla="*/ 411653 w 1087928"/>
                        <a:gd name="connsiteY54" fmla="*/ 714375 h 7206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1087928" h="720687">
                          <a:moveTo>
                            <a:pt x="411653" y="714375"/>
                          </a:moveTo>
                          <a:cubicBezTo>
                            <a:pt x="457690" y="715962"/>
                            <a:pt x="558524" y="741719"/>
                            <a:pt x="602153" y="676275"/>
                          </a:cubicBezTo>
                          <a:cubicBezTo>
                            <a:pt x="607722" y="667921"/>
                            <a:pt x="608503" y="657225"/>
                            <a:pt x="611678" y="647700"/>
                          </a:cubicBezTo>
                          <a:cubicBezTo>
                            <a:pt x="646603" y="650875"/>
                            <a:pt x="682733" y="647591"/>
                            <a:pt x="716453" y="657225"/>
                          </a:cubicBezTo>
                          <a:cubicBezTo>
                            <a:pt x="729405" y="660926"/>
                            <a:pt x="731819" y="683158"/>
                            <a:pt x="745028" y="685800"/>
                          </a:cubicBezTo>
                          <a:cubicBezTo>
                            <a:pt x="767043" y="690203"/>
                            <a:pt x="789478" y="679450"/>
                            <a:pt x="811703" y="676275"/>
                          </a:cubicBezTo>
                          <a:cubicBezTo>
                            <a:pt x="824403" y="666750"/>
                            <a:pt x="841389" y="661162"/>
                            <a:pt x="849803" y="647700"/>
                          </a:cubicBezTo>
                          <a:cubicBezTo>
                            <a:pt x="892150" y="579946"/>
                            <a:pt x="824836" y="611572"/>
                            <a:pt x="887903" y="590550"/>
                          </a:cubicBezTo>
                          <a:cubicBezTo>
                            <a:pt x="894253" y="600075"/>
                            <a:pt x="902933" y="608406"/>
                            <a:pt x="906953" y="619125"/>
                          </a:cubicBezTo>
                          <a:cubicBezTo>
                            <a:pt x="936046" y="696708"/>
                            <a:pt x="874134" y="670984"/>
                            <a:pt x="1011728" y="657225"/>
                          </a:cubicBezTo>
                          <a:cubicBezTo>
                            <a:pt x="1018078" y="638175"/>
                            <a:pt x="1028560" y="620033"/>
                            <a:pt x="1030778" y="600075"/>
                          </a:cubicBezTo>
                          <a:cubicBezTo>
                            <a:pt x="1033953" y="571500"/>
                            <a:pt x="1033330" y="542242"/>
                            <a:pt x="1040303" y="514350"/>
                          </a:cubicBezTo>
                          <a:cubicBezTo>
                            <a:pt x="1043079" y="503244"/>
                            <a:pt x="1054233" y="496014"/>
                            <a:pt x="1059353" y="485775"/>
                          </a:cubicBezTo>
                          <a:cubicBezTo>
                            <a:pt x="1063843" y="476795"/>
                            <a:pt x="1065703" y="466725"/>
                            <a:pt x="1068878" y="457200"/>
                          </a:cubicBezTo>
                          <a:cubicBezTo>
                            <a:pt x="1065703" y="431800"/>
                            <a:pt x="1063932" y="406185"/>
                            <a:pt x="1059353" y="381000"/>
                          </a:cubicBezTo>
                          <a:cubicBezTo>
                            <a:pt x="1057557" y="371122"/>
                            <a:pt x="1048719" y="362404"/>
                            <a:pt x="1049828" y="352425"/>
                          </a:cubicBezTo>
                          <a:cubicBezTo>
                            <a:pt x="1054362" y="311619"/>
                            <a:pt x="1068078" y="296474"/>
                            <a:pt x="1087928" y="266700"/>
                          </a:cubicBezTo>
                          <a:cubicBezTo>
                            <a:pt x="1084418" y="242129"/>
                            <a:pt x="1082178" y="198049"/>
                            <a:pt x="1068878" y="171450"/>
                          </a:cubicBezTo>
                          <a:cubicBezTo>
                            <a:pt x="1063758" y="161211"/>
                            <a:pt x="1058767" y="150026"/>
                            <a:pt x="1049828" y="142875"/>
                          </a:cubicBezTo>
                          <a:cubicBezTo>
                            <a:pt x="1041988" y="136603"/>
                            <a:pt x="1030778" y="136525"/>
                            <a:pt x="1021253" y="133350"/>
                          </a:cubicBezTo>
                          <a:cubicBezTo>
                            <a:pt x="1002203" y="136525"/>
                            <a:pt x="980480" y="132639"/>
                            <a:pt x="964103" y="142875"/>
                          </a:cubicBezTo>
                          <a:cubicBezTo>
                            <a:pt x="941287" y="157135"/>
                            <a:pt x="937140" y="236363"/>
                            <a:pt x="935528" y="247650"/>
                          </a:cubicBezTo>
                          <a:cubicBezTo>
                            <a:pt x="926003" y="244475"/>
                            <a:pt x="915307" y="243694"/>
                            <a:pt x="906953" y="238125"/>
                          </a:cubicBezTo>
                          <a:cubicBezTo>
                            <a:pt x="862091" y="208217"/>
                            <a:pt x="896548" y="211275"/>
                            <a:pt x="849803" y="190500"/>
                          </a:cubicBezTo>
                          <a:cubicBezTo>
                            <a:pt x="831453" y="182345"/>
                            <a:pt x="792653" y="171450"/>
                            <a:pt x="792653" y="171450"/>
                          </a:cubicBezTo>
                          <a:cubicBezTo>
                            <a:pt x="775528" y="145762"/>
                            <a:pt x="770651" y="143876"/>
                            <a:pt x="764078" y="114300"/>
                          </a:cubicBezTo>
                          <a:cubicBezTo>
                            <a:pt x="759888" y="95447"/>
                            <a:pt x="765628" y="72972"/>
                            <a:pt x="754553" y="57150"/>
                          </a:cubicBezTo>
                          <a:cubicBezTo>
                            <a:pt x="741423" y="38393"/>
                            <a:pt x="697403" y="19050"/>
                            <a:pt x="697403" y="19050"/>
                          </a:cubicBezTo>
                          <a:cubicBezTo>
                            <a:pt x="620981" y="28603"/>
                            <a:pt x="599326" y="36814"/>
                            <a:pt x="516428" y="19050"/>
                          </a:cubicBezTo>
                          <a:cubicBezTo>
                            <a:pt x="505234" y="16651"/>
                            <a:pt x="497378" y="6350"/>
                            <a:pt x="487853" y="0"/>
                          </a:cubicBezTo>
                          <a:cubicBezTo>
                            <a:pt x="475153" y="3175"/>
                            <a:pt x="461119" y="3030"/>
                            <a:pt x="449753" y="9525"/>
                          </a:cubicBezTo>
                          <a:cubicBezTo>
                            <a:pt x="438057" y="16208"/>
                            <a:pt x="431526" y="29476"/>
                            <a:pt x="421178" y="38100"/>
                          </a:cubicBezTo>
                          <a:cubicBezTo>
                            <a:pt x="412384" y="45429"/>
                            <a:pt x="402128" y="50800"/>
                            <a:pt x="392603" y="57150"/>
                          </a:cubicBezTo>
                          <a:cubicBezTo>
                            <a:pt x="385733" y="55776"/>
                            <a:pt x="328955" y="46468"/>
                            <a:pt x="316403" y="38100"/>
                          </a:cubicBezTo>
                          <a:cubicBezTo>
                            <a:pt x="305195" y="30628"/>
                            <a:pt x="297353" y="19050"/>
                            <a:pt x="287828" y="9525"/>
                          </a:cubicBezTo>
                          <a:cubicBezTo>
                            <a:pt x="183615" y="44263"/>
                            <a:pt x="341465" y="-11139"/>
                            <a:pt x="230678" y="38100"/>
                          </a:cubicBezTo>
                          <a:cubicBezTo>
                            <a:pt x="185395" y="58226"/>
                            <a:pt x="164301" y="58688"/>
                            <a:pt x="116378" y="66675"/>
                          </a:cubicBezTo>
                          <a:lnTo>
                            <a:pt x="78278" y="123825"/>
                          </a:lnTo>
                          <a:lnTo>
                            <a:pt x="59228" y="152400"/>
                          </a:lnTo>
                          <a:cubicBezTo>
                            <a:pt x="44981" y="294866"/>
                            <a:pt x="82570" y="238125"/>
                            <a:pt x="2078" y="238125"/>
                          </a:cubicBezTo>
                          <a:cubicBezTo>
                            <a:pt x="-7962" y="238125"/>
                            <a:pt x="21128" y="244475"/>
                            <a:pt x="30653" y="247650"/>
                          </a:cubicBezTo>
                          <a:cubicBezTo>
                            <a:pt x="21760" y="274328"/>
                            <a:pt x="6514" y="305212"/>
                            <a:pt x="30653" y="333375"/>
                          </a:cubicBezTo>
                          <a:cubicBezTo>
                            <a:pt x="41189" y="345667"/>
                            <a:pt x="62403" y="339725"/>
                            <a:pt x="78278" y="342900"/>
                          </a:cubicBezTo>
                          <a:cubicBezTo>
                            <a:pt x="81453" y="352425"/>
                            <a:pt x="85368" y="361735"/>
                            <a:pt x="87803" y="371475"/>
                          </a:cubicBezTo>
                          <a:cubicBezTo>
                            <a:pt x="94580" y="398582"/>
                            <a:pt x="91879" y="428075"/>
                            <a:pt x="116378" y="447675"/>
                          </a:cubicBezTo>
                          <a:cubicBezTo>
                            <a:pt x="122589" y="452644"/>
                            <a:pt x="180564" y="466103"/>
                            <a:pt x="183053" y="466725"/>
                          </a:cubicBezTo>
                          <a:cubicBezTo>
                            <a:pt x="186228" y="476250"/>
                            <a:pt x="190609" y="485455"/>
                            <a:pt x="192578" y="495300"/>
                          </a:cubicBezTo>
                          <a:cubicBezTo>
                            <a:pt x="196981" y="517315"/>
                            <a:pt x="192985" y="541459"/>
                            <a:pt x="202103" y="561975"/>
                          </a:cubicBezTo>
                          <a:cubicBezTo>
                            <a:pt x="206752" y="572436"/>
                            <a:pt x="220217" y="576376"/>
                            <a:pt x="230678" y="581025"/>
                          </a:cubicBezTo>
                          <a:cubicBezTo>
                            <a:pt x="275961" y="601151"/>
                            <a:pt x="297055" y="601613"/>
                            <a:pt x="344978" y="609600"/>
                          </a:cubicBezTo>
                          <a:cubicBezTo>
                            <a:pt x="296455" y="625774"/>
                            <a:pt x="264256" y="640676"/>
                            <a:pt x="202103" y="609600"/>
                          </a:cubicBezTo>
                          <a:cubicBezTo>
                            <a:pt x="179208" y="598152"/>
                            <a:pt x="252903" y="603250"/>
                            <a:pt x="278303" y="600075"/>
                          </a:cubicBezTo>
                          <a:cubicBezTo>
                            <a:pt x="287828" y="603250"/>
                            <a:pt x="301042" y="601430"/>
                            <a:pt x="306878" y="609600"/>
                          </a:cubicBezTo>
                          <a:cubicBezTo>
                            <a:pt x="318550" y="625940"/>
                            <a:pt x="309220" y="655611"/>
                            <a:pt x="325928" y="666750"/>
                          </a:cubicBezTo>
                          <a:cubicBezTo>
                            <a:pt x="391003" y="710134"/>
                            <a:pt x="365616" y="712788"/>
                            <a:pt x="411653" y="714375"/>
                          </a:cubicBezTo>
                          <a:close/>
                        </a:path>
                      </a:pathLst>
                    </a:custGeom>
                    <a:solidFill>
                      <a:schemeClr val="accent3">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b="1">
                          <a:solidFill>
                            <a:sysClr val="windowText" lastClr="000000"/>
                          </a:solidFill>
                        </a:rPr>
                        <a:t>Juan</a:t>
                      </a:r>
                      <a:r>
                        <a:rPr lang="es-ES" sz="1100" b="1" baseline="0">
                          <a:solidFill>
                            <a:sysClr val="windowText" lastClr="000000"/>
                          </a:solidFill>
                        </a:rPr>
                        <a:t> </a:t>
                      </a:r>
                    </a:p>
                    <a:p>
                      <a:pPr algn="ctr"/>
                      <a:r>
                        <a:rPr lang="es-ES" sz="1100" b="1">
                          <a:solidFill>
                            <a:sysClr val="windowText" lastClr="000000"/>
                          </a:solidFill>
                        </a:rPr>
                        <a:t>Sánchez Ramírez</a:t>
                      </a:r>
                    </a:p>
                    <a:p>
                      <a:pPr algn="ctr"/>
                      <a:r>
                        <a:rPr lang="es-ES" sz="1100" b="1">
                          <a:solidFill>
                            <a:sysClr val="windowText" lastClr="000000"/>
                          </a:solidFill>
                        </a:rPr>
                        <a:t>21,357</a:t>
                      </a:r>
                    </a:p>
                    <a:p>
                      <a:pPr algn="ctr"/>
                      <a:r>
                        <a:rPr lang="es-ES" sz="1100" b="1">
                          <a:solidFill>
                            <a:sysClr val="windowText" lastClr="000000"/>
                          </a:solidFill>
                        </a:rPr>
                        <a:t>0.7%</a:t>
                      </a:r>
                    </a:p>
                  </xdr:txBody>
                </xdr:sp>
              </xdr:grpSp>
              <xdr:sp macro="" textlink="">
                <xdr:nvSpPr>
                  <xdr:cNvPr id="23" name="Forma libre 22"/>
                  <xdr:cNvSpPr/>
                </xdr:nvSpPr>
                <xdr:spPr>
                  <a:xfrm>
                    <a:off x="5279945" y="1498942"/>
                    <a:ext cx="1511379" cy="844208"/>
                  </a:xfrm>
                  <a:custGeom>
                    <a:avLst/>
                    <a:gdLst>
                      <a:gd name="connsiteX0" fmla="*/ 3167 w 1404415"/>
                      <a:gd name="connsiteY0" fmla="*/ 187023 h 872823"/>
                      <a:gd name="connsiteX1" fmla="*/ 50792 w 1404415"/>
                      <a:gd name="connsiteY1" fmla="*/ 234648 h 872823"/>
                      <a:gd name="connsiteX2" fmla="*/ 12692 w 1404415"/>
                      <a:gd name="connsiteY2" fmla="*/ 301323 h 872823"/>
                      <a:gd name="connsiteX3" fmla="*/ 3167 w 1404415"/>
                      <a:gd name="connsiteY3" fmla="*/ 329898 h 872823"/>
                      <a:gd name="connsiteX4" fmla="*/ 165092 w 1404415"/>
                      <a:gd name="connsiteY4" fmla="*/ 310848 h 872823"/>
                      <a:gd name="connsiteX5" fmla="*/ 203192 w 1404415"/>
                      <a:gd name="connsiteY5" fmla="*/ 358473 h 872823"/>
                      <a:gd name="connsiteX6" fmla="*/ 241292 w 1404415"/>
                      <a:gd name="connsiteY6" fmla="*/ 415623 h 872823"/>
                      <a:gd name="connsiteX7" fmla="*/ 231767 w 1404415"/>
                      <a:gd name="connsiteY7" fmla="*/ 444198 h 872823"/>
                      <a:gd name="connsiteX8" fmla="*/ 174617 w 1404415"/>
                      <a:gd name="connsiteY8" fmla="*/ 482298 h 872823"/>
                      <a:gd name="connsiteX9" fmla="*/ 155567 w 1404415"/>
                      <a:gd name="connsiteY9" fmla="*/ 510873 h 872823"/>
                      <a:gd name="connsiteX10" fmla="*/ 126992 w 1404415"/>
                      <a:gd name="connsiteY10" fmla="*/ 520398 h 872823"/>
                      <a:gd name="connsiteX11" fmla="*/ 31742 w 1404415"/>
                      <a:gd name="connsiteY11" fmla="*/ 529923 h 872823"/>
                      <a:gd name="connsiteX12" fmla="*/ 12692 w 1404415"/>
                      <a:gd name="connsiteY12" fmla="*/ 558498 h 872823"/>
                      <a:gd name="connsiteX13" fmla="*/ 22217 w 1404415"/>
                      <a:gd name="connsiteY13" fmla="*/ 587073 h 872823"/>
                      <a:gd name="connsiteX14" fmla="*/ 69842 w 1404415"/>
                      <a:gd name="connsiteY14" fmla="*/ 634698 h 872823"/>
                      <a:gd name="connsiteX15" fmla="*/ 98417 w 1404415"/>
                      <a:gd name="connsiteY15" fmla="*/ 663273 h 872823"/>
                      <a:gd name="connsiteX16" fmla="*/ 88892 w 1404415"/>
                      <a:gd name="connsiteY16" fmla="*/ 701373 h 872823"/>
                      <a:gd name="connsiteX17" fmla="*/ 79367 w 1404415"/>
                      <a:gd name="connsiteY17" fmla="*/ 729948 h 872823"/>
                      <a:gd name="connsiteX18" fmla="*/ 155567 w 1404415"/>
                      <a:gd name="connsiteY18" fmla="*/ 796623 h 872823"/>
                      <a:gd name="connsiteX19" fmla="*/ 184142 w 1404415"/>
                      <a:gd name="connsiteY19" fmla="*/ 806148 h 872823"/>
                      <a:gd name="connsiteX20" fmla="*/ 241292 w 1404415"/>
                      <a:gd name="connsiteY20" fmla="*/ 844248 h 872823"/>
                      <a:gd name="connsiteX21" fmla="*/ 269867 w 1404415"/>
                      <a:gd name="connsiteY21" fmla="*/ 863298 h 872823"/>
                      <a:gd name="connsiteX22" fmla="*/ 298442 w 1404415"/>
                      <a:gd name="connsiteY22" fmla="*/ 872823 h 872823"/>
                      <a:gd name="connsiteX23" fmla="*/ 307967 w 1404415"/>
                      <a:gd name="connsiteY23" fmla="*/ 844248 h 872823"/>
                      <a:gd name="connsiteX24" fmla="*/ 317492 w 1404415"/>
                      <a:gd name="connsiteY24" fmla="*/ 806148 h 872823"/>
                      <a:gd name="connsiteX25" fmla="*/ 336542 w 1404415"/>
                      <a:gd name="connsiteY25" fmla="*/ 768048 h 872823"/>
                      <a:gd name="connsiteX26" fmla="*/ 346067 w 1404415"/>
                      <a:gd name="connsiteY26" fmla="*/ 739473 h 872823"/>
                      <a:gd name="connsiteX27" fmla="*/ 336542 w 1404415"/>
                      <a:gd name="connsiteY27" fmla="*/ 691848 h 872823"/>
                      <a:gd name="connsiteX28" fmla="*/ 250817 w 1404415"/>
                      <a:gd name="connsiteY28" fmla="*/ 653748 h 872823"/>
                      <a:gd name="connsiteX29" fmla="*/ 260342 w 1404415"/>
                      <a:gd name="connsiteY29" fmla="*/ 568023 h 872823"/>
                      <a:gd name="connsiteX30" fmla="*/ 269867 w 1404415"/>
                      <a:gd name="connsiteY30" fmla="*/ 539448 h 872823"/>
                      <a:gd name="connsiteX31" fmla="*/ 298442 w 1404415"/>
                      <a:gd name="connsiteY31" fmla="*/ 377523 h 872823"/>
                      <a:gd name="connsiteX32" fmla="*/ 336542 w 1404415"/>
                      <a:gd name="connsiteY32" fmla="*/ 358473 h 872823"/>
                      <a:gd name="connsiteX33" fmla="*/ 365117 w 1404415"/>
                      <a:gd name="connsiteY33" fmla="*/ 348948 h 872823"/>
                      <a:gd name="connsiteX34" fmla="*/ 574667 w 1404415"/>
                      <a:gd name="connsiteY34" fmla="*/ 358473 h 872823"/>
                      <a:gd name="connsiteX35" fmla="*/ 603242 w 1404415"/>
                      <a:gd name="connsiteY35" fmla="*/ 377523 h 872823"/>
                      <a:gd name="connsiteX36" fmla="*/ 688967 w 1404415"/>
                      <a:gd name="connsiteY36" fmla="*/ 406098 h 872823"/>
                      <a:gd name="connsiteX37" fmla="*/ 717542 w 1404415"/>
                      <a:gd name="connsiteY37" fmla="*/ 415623 h 872823"/>
                      <a:gd name="connsiteX38" fmla="*/ 1117592 w 1404415"/>
                      <a:gd name="connsiteY38" fmla="*/ 425148 h 872823"/>
                      <a:gd name="connsiteX39" fmla="*/ 1203317 w 1404415"/>
                      <a:gd name="connsiteY39" fmla="*/ 444198 h 872823"/>
                      <a:gd name="connsiteX40" fmla="*/ 1231892 w 1404415"/>
                      <a:gd name="connsiteY40" fmla="*/ 387048 h 872823"/>
                      <a:gd name="connsiteX41" fmla="*/ 1269992 w 1404415"/>
                      <a:gd name="connsiteY41" fmla="*/ 329898 h 872823"/>
                      <a:gd name="connsiteX42" fmla="*/ 1289042 w 1404415"/>
                      <a:gd name="connsiteY42" fmla="*/ 301323 h 872823"/>
                      <a:gd name="connsiteX43" fmla="*/ 1298567 w 1404415"/>
                      <a:gd name="connsiteY43" fmla="*/ 272748 h 872823"/>
                      <a:gd name="connsiteX44" fmla="*/ 1327142 w 1404415"/>
                      <a:gd name="connsiteY44" fmla="*/ 244173 h 872823"/>
                      <a:gd name="connsiteX45" fmla="*/ 1384292 w 1404415"/>
                      <a:gd name="connsiteY45" fmla="*/ 206073 h 872823"/>
                      <a:gd name="connsiteX46" fmla="*/ 1346192 w 1404415"/>
                      <a:gd name="connsiteY46" fmla="*/ 158448 h 872823"/>
                      <a:gd name="connsiteX47" fmla="*/ 1146167 w 1404415"/>
                      <a:gd name="connsiteY47" fmla="*/ 148923 h 872823"/>
                      <a:gd name="connsiteX48" fmla="*/ 1203317 w 1404415"/>
                      <a:gd name="connsiteY48" fmla="*/ 101298 h 872823"/>
                      <a:gd name="connsiteX49" fmla="*/ 1222367 w 1404415"/>
                      <a:gd name="connsiteY49" fmla="*/ 72723 h 872823"/>
                      <a:gd name="connsiteX50" fmla="*/ 1212842 w 1404415"/>
                      <a:gd name="connsiteY50" fmla="*/ 6048 h 872823"/>
                      <a:gd name="connsiteX51" fmla="*/ 1117592 w 1404415"/>
                      <a:gd name="connsiteY51" fmla="*/ 15573 h 872823"/>
                      <a:gd name="connsiteX52" fmla="*/ 1089017 w 1404415"/>
                      <a:gd name="connsiteY52" fmla="*/ 34623 h 872823"/>
                      <a:gd name="connsiteX53" fmla="*/ 1050917 w 1404415"/>
                      <a:gd name="connsiteY53" fmla="*/ 53673 h 872823"/>
                      <a:gd name="connsiteX54" fmla="*/ 993767 w 1404415"/>
                      <a:gd name="connsiteY54" fmla="*/ 101298 h 872823"/>
                      <a:gd name="connsiteX55" fmla="*/ 965192 w 1404415"/>
                      <a:gd name="connsiteY55" fmla="*/ 158448 h 872823"/>
                      <a:gd name="connsiteX56" fmla="*/ 946142 w 1404415"/>
                      <a:gd name="connsiteY56" fmla="*/ 187023 h 872823"/>
                      <a:gd name="connsiteX57" fmla="*/ 908042 w 1404415"/>
                      <a:gd name="connsiteY57" fmla="*/ 158448 h 872823"/>
                      <a:gd name="connsiteX58" fmla="*/ 888992 w 1404415"/>
                      <a:gd name="connsiteY58" fmla="*/ 129873 h 872823"/>
                      <a:gd name="connsiteX59" fmla="*/ 860417 w 1404415"/>
                      <a:gd name="connsiteY59" fmla="*/ 120348 h 872823"/>
                      <a:gd name="connsiteX60" fmla="*/ 755642 w 1404415"/>
                      <a:gd name="connsiteY60" fmla="*/ 110823 h 872823"/>
                      <a:gd name="connsiteX61" fmla="*/ 717542 w 1404415"/>
                      <a:gd name="connsiteY61" fmla="*/ 101298 h 872823"/>
                      <a:gd name="connsiteX62" fmla="*/ 660392 w 1404415"/>
                      <a:gd name="connsiteY62" fmla="*/ 82248 h 872823"/>
                      <a:gd name="connsiteX63" fmla="*/ 507992 w 1404415"/>
                      <a:gd name="connsiteY63" fmla="*/ 72723 h 872823"/>
                      <a:gd name="connsiteX64" fmla="*/ 431792 w 1404415"/>
                      <a:gd name="connsiteY64" fmla="*/ 82248 h 872823"/>
                      <a:gd name="connsiteX65" fmla="*/ 412742 w 1404415"/>
                      <a:gd name="connsiteY65" fmla="*/ 120348 h 872823"/>
                      <a:gd name="connsiteX66" fmla="*/ 374642 w 1404415"/>
                      <a:gd name="connsiteY66" fmla="*/ 129873 h 872823"/>
                      <a:gd name="connsiteX67" fmla="*/ 336542 w 1404415"/>
                      <a:gd name="connsiteY67" fmla="*/ 158448 h 872823"/>
                      <a:gd name="connsiteX68" fmla="*/ 126992 w 1404415"/>
                      <a:gd name="connsiteY68" fmla="*/ 187023 h 872823"/>
                      <a:gd name="connsiteX69" fmla="*/ 69842 w 1404415"/>
                      <a:gd name="connsiteY69" fmla="*/ 196548 h 872823"/>
                      <a:gd name="connsiteX70" fmla="*/ 3167 w 1404415"/>
                      <a:gd name="connsiteY70" fmla="*/ 187023 h 8728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Lst>
                    <a:rect l="l" t="t" r="r" b="b"/>
                    <a:pathLst>
                      <a:path w="1404415" h="872823">
                        <a:moveTo>
                          <a:pt x="3167" y="187023"/>
                        </a:moveTo>
                        <a:cubicBezTo>
                          <a:pt x="-8" y="193373"/>
                          <a:pt x="41674" y="214132"/>
                          <a:pt x="50792" y="234648"/>
                        </a:cubicBezTo>
                        <a:cubicBezTo>
                          <a:pt x="62600" y="261216"/>
                          <a:pt x="25210" y="288805"/>
                          <a:pt x="12692" y="301323"/>
                        </a:cubicBezTo>
                        <a:cubicBezTo>
                          <a:pt x="9517" y="310848"/>
                          <a:pt x="-6756" y="328371"/>
                          <a:pt x="3167" y="329898"/>
                        </a:cubicBezTo>
                        <a:cubicBezTo>
                          <a:pt x="80239" y="341755"/>
                          <a:pt x="109177" y="329486"/>
                          <a:pt x="165092" y="310848"/>
                        </a:cubicBezTo>
                        <a:cubicBezTo>
                          <a:pt x="217890" y="346047"/>
                          <a:pt x="176129" y="309759"/>
                          <a:pt x="203192" y="358473"/>
                        </a:cubicBezTo>
                        <a:cubicBezTo>
                          <a:pt x="214311" y="378487"/>
                          <a:pt x="241292" y="415623"/>
                          <a:pt x="241292" y="415623"/>
                        </a:cubicBezTo>
                        <a:cubicBezTo>
                          <a:pt x="238117" y="425148"/>
                          <a:pt x="238867" y="437098"/>
                          <a:pt x="231767" y="444198"/>
                        </a:cubicBezTo>
                        <a:cubicBezTo>
                          <a:pt x="215578" y="460387"/>
                          <a:pt x="174617" y="482298"/>
                          <a:pt x="174617" y="482298"/>
                        </a:cubicBezTo>
                        <a:cubicBezTo>
                          <a:pt x="168267" y="491823"/>
                          <a:pt x="164506" y="503722"/>
                          <a:pt x="155567" y="510873"/>
                        </a:cubicBezTo>
                        <a:cubicBezTo>
                          <a:pt x="147727" y="517145"/>
                          <a:pt x="136915" y="518871"/>
                          <a:pt x="126992" y="520398"/>
                        </a:cubicBezTo>
                        <a:cubicBezTo>
                          <a:pt x="95455" y="525250"/>
                          <a:pt x="63492" y="526748"/>
                          <a:pt x="31742" y="529923"/>
                        </a:cubicBezTo>
                        <a:cubicBezTo>
                          <a:pt x="25392" y="539448"/>
                          <a:pt x="14574" y="547206"/>
                          <a:pt x="12692" y="558498"/>
                        </a:cubicBezTo>
                        <a:cubicBezTo>
                          <a:pt x="11041" y="568402"/>
                          <a:pt x="17727" y="578093"/>
                          <a:pt x="22217" y="587073"/>
                        </a:cubicBezTo>
                        <a:cubicBezTo>
                          <a:pt x="42174" y="626987"/>
                          <a:pt x="37185" y="607484"/>
                          <a:pt x="69842" y="634698"/>
                        </a:cubicBezTo>
                        <a:cubicBezTo>
                          <a:pt x="80190" y="643322"/>
                          <a:pt x="88892" y="653748"/>
                          <a:pt x="98417" y="663273"/>
                        </a:cubicBezTo>
                        <a:cubicBezTo>
                          <a:pt x="95242" y="675973"/>
                          <a:pt x="92488" y="688786"/>
                          <a:pt x="88892" y="701373"/>
                        </a:cubicBezTo>
                        <a:cubicBezTo>
                          <a:pt x="86134" y="711027"/>
                          <a:pt x="76192" y="720423"/>
                          <a:pt x="79367" y="729948"/>
                        </a:cubicBezTo>
                        <a:cubicBezTo>
                          <a:pt x="101048" y="794992"/>
                          <a:pt x="108795" y="783260"/>
                          <a:pt x="155567" y="796623"/>
                        </a:cubicBezTo>
                        <a:cubicBezTo>
                          <a:pt x="165221" y="799381"/>
                          <a:pt x="175365" y="801272"/>
                          <a:pt x="184142" y="806148"/>
                        </a:cubicBezTo>
                        <a:cubicBezTo>
                          <a:pt x="204156" y="817267"/>
                          <a:pt x="222242" y="831548"/>
                          <a:pt x="241292" y="844248"/>
                        </a:cubicBezTo>
                        <a:cubicBezTo>
                          <a:pt x="250817" y="850598"/>
                          <a:pt x="259007" y="859678"/>
                          <a:pt x="269867" y="863298"/>
                        </a:cubicBezTo>
                        <a:lnTo>
                          <a:pt x="298442" y="872823"/>
                        </a:lnTo>
                        <a:cubicBezTo>
                          <a:pt x="301617" y="863298"/>
                          <a:pt x="305209" y="853902"/>
                          <a:pt x="307967" y="844248"/>
                        </a:cubicBezTo>
                        <a:cubicBezTo>
                          <a:pt x="311563" y="831661"/>
                          <a:pt x="312895" y="818405"/>
                          <a:pt x="317492" y="806148"/>
                        </a:cubicBezTo>
                        <a:cubicBezTo>
                          <a:pt x="322478" y="792853"/>
                          <a:pt x="330949" y="781099"/>
                          <a:pt x="336542" y="768048"/>
                        </a:cubicBezTo>
                        <a:cubicBezTo>
                          <a:pt x="340497" y="758820"/>
                          <a:pt x="342892" y="748998"/>
                          <a:pt x="346067" y="739473"/>
                        </a:cubicBezTo>
                        <a:cubicBezTo>
                          <a:pt x="342892" y="723598"/>
                          <a:pt x="350012" y="700828"/>
                          <a:pt x="336542" y="691848"/>
                        </a:cubicBezTo>
                        <a:cubicBezTo>
                          <a:pt x="230377" y="621071"/>
                          <a:pt x="276282" y="730143"/>
                          <a:pt x="250817" y="653748"/>
                        </a:cubicBezTo>
                        <a:cubicBezTo>
                          <a:pt x="253992" y="625173"/>
                          <a:pt x="255615" y="596383"/>
                          <a:pt x="260342" y="568023"/>
                        </a:cubicBezTo>
                        <a:cubicBezTo>
                          <a:pt x="261993" y="558119"/>
                          <a:pt x="268694" y="549419"/>
                          <a:pt x="269867" y="539448"/>
                        </a:cubicBezTo>
                        <a:cubicBezTo>
                          <a:pt x="272810" y="514434"/>
                          <a:pt x="256573" y="412414"/>
                          <a:pt x="298442" y="377523"/>
                        </a:cubicBezTo>
                        <a:cubicBezTo>
                          <a:pt x="309350" y="368433"/>
                          <a:pt x="323491" y="364066"/>
                          <a:pt x="336542" y="358473"/>
                        </a:cubicBezTo>
                        <a:cubicBezTo>
                          <a:pt x="345770" y="354518"/>
                          <a:pt x="355592" y="352123"/>
                          <a:pt x="365117" y="348948"/>
                        </a:cubicBezTo>
                        <a:cubicBezTo>
                          <a:pt x="434967" y="352123"/>
                          <a:pt x="505243" y="350142"/>
                          <a:pt x="574667" y="358473"/>
                        </a:cubicBezTo>
                        <a:cubicBezTo>
                          <a:pt x="586033" y="359837"/>
                          <a:pt x="592781" y="372874"/>
                          <a:pt x="603242" y="377523"/>
                        </a:cubicBezTo>
                        <a:lnTo>
                          <a:pt x="688967" y="406098"/>
                        </a:lnTo>
                        <a:cubicBezTo>
                          <a:pt x="698492" y="409273"/>
                          <a:pt x="707505" y="415384"/>
                          <a:pt x="717542" y="415623"/>
                        </a:cubicBezTo>
                        <a:lnTo>
                          <a:pt x="1117592" y="425148"/>
                        </a:lnTo>
                        <a:cubicBezTo>
                          <a:pt x="1127071" y="427518"/>
                          <a:pt x="1197674" y="445810"/>
                          <a:pt x="1203317" y="444198"/>
                        </a:cubicBezTo>
                        <a:cubicBezTo>
                          <a:pt x="1220071" y="439411"/>
                          <a:pt x="1225645" y="398293"/>
                          <a:pt x="1231892" y="387048"/>
                        </a:cubicBezTo>
                        <a:cubicBezTo>
                          <a:pt x="1243011" y="367034"/>
                          <a:pt x="1257292" y="348948"/>
                          <a:pt x="1269992" y="329898"/>
                        </a:cubicBezTo>
                        <a:cubicBezTo>
                          <a:pt x="1276342" y="320373"/>
                          <a:pt x="1285422" y="312183"/>
                          <a:pt x="1289042" y="301323"/>
                        </a:cubicBezTo>
                        <a:cubicBezTo>
                          <a:pt x="1292217" y="291798"/>
                          <a:pt x="1292998" y="281102"/>
                          <a:pt x="1298567" y="272748"/>
                        </a:cubicBezTo>
                        <a:cubicBezTo>
                          <a:pt x="1306039" y="261540"/>
                          <a:pt x="1316509" y="252443"/>
                          <a:pt x="1327142" y="244173"/>
                        </a:cubicBezTo>
                        <a:cubicBezTo>
                          <a:pt x="1345214" y="230117"/>
                          <a:pt x="1384292" y="206073"/>
                          <a:pt x="1384292" y="206073"/>
                        </a:cubicBezTo>
                        <a:cubicBezTo>
                          <a:pt x="1407323" y="171527"/>
                          <a:pt x="1426758" y="162284"/>
                          <a:pt x="1346192" y="158448"/>
                        </a:cubicBezTo>
                        <a:lnTo>
                          <a:pt x="1146167" y="148923"/>
                        </a:lnTo>
                        <a:cubicBezTo>
                          <a:pt x="1174264" y="130192"/>
                          <a:pt x="1180398" y="128800"/>
                          <a:pt x="1203317" y="101298"/>
                        </a:cubicBezTo>
                        <a:cubicBezTo>
                          <a:pt x="1210646" y="92504"/>
                          <a:pt x="1216017" y="82248"/>
                          <a:pt x="1222367" y="72723"/>
                        </a:cubicBezTo>
                        <a:cubicBezTo>
                          <a:pt x="1219192" y="50498"/>
                          <a:pt x="1232551" y="16799"/>
                          <a:pt x="1212842" y="6048"/>
                        </a:cubicBezTo>
                        <a:cubicBezTo>
                          <a:pt x="1184830" y="-9231"/>
                          <a:pt x="1148683" y="8398"/>
                          <a:pt x="1117592" y="15573"/>
                        </a:cubicBezTo>
                        <a:cubicBezTo>
                          <a:pt x="1106438" y="18147"/>
                          <a:pt x="1098956" y="28943"/>
                          <a:pt x="1089017" y="34623"/>
                        </a:cubicBezTo>
                        <a:cubicBezTo>
                          <a:pt x="1076689" y="41668"/>
                          <a:pt x="1063245" y="46628"/>
                          <a:pt x="1050917" y="53673"/>
                        </a:cubicBezTo>
                        <a:cubicBezTo>
                          <a:pt x="1027077" y="67296"/>
                          <a:pt x="1011676" y="79807"/>
                          <a:pt x="993767" y="101298"/>
                        </a:cubicBezTo>
                        <a:cubicBezTo>
                          <a:pt x="959645" y="142244"/>
                          <a:pt x="986671" y="115490"/>
                          <a:pt x="965192" y="158448"/>
                        </a:cubicBezTo>
                        <a:cubicBezTo>
                          <a:pt x="960072" y="168687"/>
                          <a:pt x="952492" y="177498"/>
                          <a:pt x="946142" y="187023"/>
                        </a:cubicBezTo>
                        <a:cubicBezTo>
                          <a:pt x="933442" y="177498"/>
                          <a:pt x="919267" y="169673"/>
                          <a:pt x="908042" y="158448"/>
                        </a:cubicBezTo>
                        <a:cubicBezTo>
                          <a:pt x="899947" y="150353"/>
                          <a:pt x="897931" y="137024"/>
                          <a:pt x="888992" y="129873"/>
                        </a:cubicBezTo>
                        <a:cubicBezTo>
                          <a:pt x="881152" y="123601"/>
                          <a:pt x="870356" y="121768"/>
                          <a:pt x="860417" y="120348"/>
                        </a:cubicBezTo>
                        <a:cubicBezTo>
                          <a:pt x="825700" y="115388"/>
                          <a:pt x="790567" y="113998"/>
                          <a:pt x="755642" y="110823"/>
                        </a:cubicBezTo>
                        <a:cubicBezTo>
                          <a:pt x="742942" y="107648"/>
                          <a:pt x="730081" y="105060"/>
                          <a:pt x="717542" y="101298"/>
                        </a:cubicBezTo>
                        <a:cubicBezTo>
                          <a:pt x="698308" y="95528"/>
                          <a:pt x="680433" y="83501"/>
                          <a:pt x="660392" y="82248"/>
                        </a:cubicBezTo>
                        <a:lnTo>
                          <a:pt x="507992" y="72723"/>
                        </a:lnTo>
                        <a:cubicBezTo>
                          <a:pt x="482592" y="75898"/>
                          <a:pt x="454687" y="70800"/>
                          <a:pt x="431792" y="82248"/>
                        </a:cubicBezTo>
                        <a:cubicBezTo>
                          <a:pt x="419092" y="88598"/>
                          <a:pt x="423650" y="111258"/>
                          <a:pt x="412742" y="120348"/>
                        </a:cubicBezTo>
                        <a:cubicBezTo>
                          <a:pt x="402685" y="128729"/>
                          <a:pt x="387342" y="126698"/>
                          <a:pt x="374642" y="129873"/>
                        </a:cubicBezTo>
                        <a:cubicBezTo>
                          <a:pt x="361942" y="139398"/>
                          <a:pt x="349460" y="149221"/>
                          <a:pt x="336542" y="158448"/>
                        </a:cubicBezTo>
                        <a:cubicBezTo>
                          <a:pt x="263378" y="210708"/>
                          <a:pt x="289458" y="178472"/>
                          <a:pt x="126992" y="187023"/>
                        </a:cubicBezTo>
                        <a:cubicBezTo>
                          <a:pt x="107942" y="190198"/>
                          <a:pt x="87490" y="188704"/>
                          <a:pt x="69842" y="196548"/>
                        </a:cubicBezTo>
                        <a:cubicBezTo>
                          <a:pt x="-9606" y="231858"/>
                          <a:pt x="6342" y="180673"/>
                          <a:pt x="3167" y="187023"/>
                        </a:cubicBezTo>
                        <a:close/>
                      </a:path>
                    </a:pathLst>
                  </a:custGeom>
                  <a:solidFill>
                    <a:schemeClr val="accent3">
                      <a:lumMod val="60000"/>
                      <a:lumOff val="40000"/>
                    </a:schemeClr>
                  </a:solidFill>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ctr"/>
                    <a:endParaRPr lang="es-ES" sz="1100" b="1">
                      <a:solidFill>
                        <a:sysClr val="windowText" lastClr="000000"/>
                      </a:solidFill>
                    </a:endParaRPr>
                  </a:p>
                  <a:p>
                    <a:pPr algn="ctr"/>
                    <a:r>
                      <a:rPr lang="es-ES" sz="1100" b="1">
                        <a:solidFill>
                          <a:sysClr val="windowText" lastClr="000000"/>
                        </a:solidFill>
                      </a:rPr>
                      <a:t>Samana 11,952  0.4%</a:t>
                    </a:r>
                  </a:p>
                </xdr:txBody>
              </xdr:sp>
            </xdr:grpSp>
            <xdr:sp macro="" textlink="">
              <xdr:nvSpPr>
                <xdr:cNvPr id="14" name="Forma libre 13"/>
                <xdr:cNvSpPr/>
              </xdr:nvSpPr>
              <xdr:spPr>
                <a:xfrm>
                  <a:off x="4171950" y="2117370"/>
                  <a:ext cx="2057400" cy="1284096"/>
                </a:xfrm>
                <a:custGeom>
                  <a:avLst/>
                  <a:gdLst>
                    <a:gd name="connsiteX0" fmla="*/ 1495425 w 2057400"/>
                    <a:gd name="connsiteY0" fmla="*/ 273405 h 1284096"/>
                    <a:gd name="connsiteX1" fmla="*/ 1419225 w 2057400"/>
                    <a:gd name="connsiteY1" fmla="*/ 254355 h 1284096"/>
                    <a:gd name="connsiteX2" fmla="*/ 1333500 w 2057400"/>
                    <a:gd name="connsiteY2" fmla="*/ 187680 h 1284096"/>
                    <a:gd name="connsiteX3" fmla="*/ 1266825 w 2057400"/>
                    <a:gd name="connsiteY3" fmla="*/ 149580 h 1284096"/>
                    <a:gd name="connsiteX4" fmla="*/ 1209675 w 2057400"/>
                    <a:gd name="connsiteY4" fmla="*/ 111480 h 1284096"/>
                    <a:gd name="connsiteX5" fmla="*/ 1200150 w 2057400"/>
                    <a:gd name="connsiteY5" fmla="*/ 73380 h 1284096"/>
                    <a:gd name="connsiteX6" fmla="*/ 1219200 w 2057400"/>
                    <a:gd name="connsiteY6" fmla="*/ 16230 h 1284096"/>
                    <a:gd name="connsiteX7" fmla="*/ 1000125 w 2057400"/>
                    <a:gd name="connsiteY7" fmla="*/ 16230 h 1284096"/>
                    <a:gd name="connsiteX8" fmla="*/ 895350 w 2057400"/>
                    <a:gd name="connsiteY8" fmla="*/ 25755 h 1284096"/>
                    <a:gd name="connsiteX9" fmla="*/ 866775 w 2057400"/>
                    <a:gd name="connsiteY9" fmla="*/ 35280 h 1284096"/>
                    <a:gd name="connsiteX10" fmla="*/ 857250 w 2057400"/>
                    <a:gd name="connsiteY10" fmla="*/ 63855 h 1284096"/>
                    <a:gd name="connsiteX11" fmla="*/ 847725 w 2057400"/>
                    <a:gd name="connsiteY11" fmla="*/ 149580 h 1284096"/>
                    <a:gd name="connsiteX12" fmla="*/ 800100 w 2057400"/>
                    <a:gd name="connsiteY12" fmla="*/ 140055 h 1284096"/>
                    <a:gd name="connsiteX13" fmla="*/ 771525 w 2057400"/>
                    <a:gd name="connsiteY13" fmla="*/ 130530 h 1284096"/>
                    <a:gd name="connsiteX14" fmla="*/ 742950 w 2057400"/>
                    <a:gd name="connsiteY14" fmla="*/ 159105 h 1284096"/>
                    <a:gd name="connsiteX15" fmla="*/ 742950 w 2057400"/>
                    <a:gd name="connsiteY15" fmla="*/ 273405 h 1284096"/>
                    <a:gd name="connsiteX16" fmla="*/ 733425 w 2057400"/>
                    <a:gd name="connsiteY16" fmla="*/ 406755 h 1284096"/>
                    <a:gd name="connsiteX17" fmla="*/ 714375 w 2057400"/>
                    <a:gd name="connsiteY17" fmla="*/ 463905 h 1284096"/>
                    <a:gd name="connsiteX18" fmla="*/ 704850 w 2057400"/>
                    <a:gd name="connsiteY18" fmla="*/ 549630 h 1284096"/>
                    <a:gd name="connsiteX19" fmla="*/ 676275 w 2057400"/>
                    <a:gd name="connsiteY19" fmla="*/ 559155 h 1284096"/>
                    <a:gd name="connsiteX20" fmla="*/ 571500 w 2057400"/>
                    <a:gd name="connsiteY20" fmla="*/ 549630 h 1284096"/>
                    <a:gd name="connsiteX21" fmla="*/ 561975 w 2057400"/>
                    <a:gd name="connsiteY21" fmla="*/ 521055 h 1284096"/>
                    <a:gd name="connsiteX22" fmla="*/ 552450 w 2057400"/>
                    <a:gd name="connsiteY22" fmla="*/ 482955 h 1284096"/>
                    <a:gd name="connsiteX23" fmla="*/ 523875 w 2057400"/>
                    <a:gd name="connsiteY23" fmla="*/ 473430 h 1284096"/>
                    <a:gd name="connsiteX24" fmla="*/ 485775 w 2057400"/>
                    <a:gd name="connsiteY24" fmla="*/ 482955 h 1284096"/>
                    <a:gd name="connsiteX25" fmla="*/ 447675 w 2057400"/>
                    <a:gd name="connsiteY25" fmla="*/ 540105 h 1284096"/>
                    <a:gd name="connsiteX26" fmla="*/ 352425 w 2057400"/>
                    <a:gd name="connsiteY26" fmla="*/ 521055 h 1284096"/>
                    <a:gd name="connsiteX27" fmla="*/ 323850 w 2057400"/>
                    <a:gd name="connsiteY27" fmla="*/ 502005 h 1284096"/>
                    <a:gd name="connsiteX28" fmla="*/ 266700 w 2057400"/>
                    <a:gd name="connsiteY28" fmla="*/ 521055 h 1284096"/>
                    <a:gd name="connsiteX29" fmla="*/ 228600 w 2057400"/>
                    <a:gd name="connsiteY29" fmla="*/ 597255 h 1284096"/>
                    <a:gd name="connsiteX30" fmla="*/ 28575 w 2057400"/>
                    <a:gd name="connsiteY30" fmla="*/ 597255 h 1284096"/>
                    <a:gd name="connsiteX31" fmla="*/ 0 w 2057400"/>
                    <a:gd name="connsiteY31" fmla="*/ 654405 h 1284096"/>
                    <a:gd name="connsiteX32" fmla="*/ 19050 w 2057400"/>
                    <a:gd name="connsiteY32" fmla="*/ 740130 h 1284096"/>
                    <a:gd name="connsiteX33" fmla="*/ 38100 w 2057400"/>
                    <a:gd name="connsiteY33" fmla="*/ 797280 h 1284096"/>
                    <a:gd name="connsiteX34" fmla="*/ 57150 w 2057400"/>
                    <a:gd name="connsiteY34" fmla="*/ 825855 h 1284096"/>
                    <a:gd name="connsiteX35" fmla="*/ 142875 w 2057400"/>
                    <a:gd name="connsiteY35" fmla="*/ 835380 h 1284096"/>
                    <a:gd name="connsiteX36" fmla="*/ 171450 w 2057400"/>
                    <a:gd name="connsiteY36" fmla="*/ 844905 h 1284096"/>
                    <a:gd name="connsiteX37" fmla="*/ 180975 w 2057400"/>
                    <a:gd name="connsiteY37" fmla="*/ 873480 h 1284096"/>
                    <a:gd name="connsiteX38" fmla="*/ 209550 w 2057400"/>
                    <a:gd name="connsiteY38" fmla="*/ 949680 h 1284096"/>
                    <a:gd name="connsiteX39" fmla="*/ 266700 w 2057400"/>
                    <a:gd name="connsiteY39" fmla="*/ 959205 h 1284096"/>
                    <a:gd name="connsiteX40" fmla="*/ 323850 w 2057400"/>
                    <a:gd name="connsiteY40" fmla="*/ 987780 h 1284096"/>
                    <a:gd name="connsiteX41" fmla="*/ 342900 w 2057400"/>
                    <a:gd name="connsiteY41" fmla="*/ 1016355 h 1284096"/>
                    <a:gd name="connsiteX42" fmla="*/ 476250 w 2057400"/>
                    <a:gd name="connsiteY42" fmla="*/ 1054455 h 1284096"/>
                    <a:gd name="connsiteX43" fmla="*/ 504825 w 2057400"/>
                    <a:gd name="connsiteY43" fmla="*/ 1083030 h 1284096"/>
                    <a:gd name="connsiteX44" fmla="*/ 523875 w 2057400"/>
                    <a:gd name="connsiteY44" fmla="*/ 1111605 h 1284096"/>
                    <a:gd name="connsiteX45" fmla="*/ 542925 w 2057400"/>
                    <a:gd name="connsiteY45" fmla="*/ 1083030 h 1284096"/>
                    <a:gd name="connsiteX46" fmla="*/ 647700 w 2057400"/>
                    <a:gd name="connsiteY46" fmla="*/ 1044930 h 1284096"/>
                    <a:gd name="connsiteX47" fmla="*/ 666750 w 2057400"/>
                    <a:gd name="connsiteY47" fmla="*/ 1016355 h 1284096"/>
                    <a:gd name="connsiteX48" fmla="*/ 676275 w 2057400"/>
                    <a:gd name="connsiteY48" fmla="*/ 978255 h 1284096"/>
                    <a:gd name="connsiteX49" fmla="*/ 733425 w 2057400"/>
                    <a:gd name="connsiteY49" fmla="*/ 997305 h 1284096"/>
                    <a:gd name="connsiteX50" fmla="*/ 885825 w 2057400"/>
                    <a:gd name="connsiteY50" fmla="*/ 987780 h 1284096"/>
                    <a:gd name="connsiteX51" fmla="*/ 904875 w 2057400"/>
                    <a:gd name="connsiteY51" fmla="*/ 1016355 h 1284096"/>
                    <a:gd name="connsiteX52" fmla="*/ 933450 w 2057400"/>
                    <a:gd name="connsiteY52" fmla="*/ 1083030 h 1284096"/>
                    <a:gd name="connsiteX53" fmla="*/ 962025 w 2057400"/>
                    <a:gd name="connsiteY53" fmla="*/ 1102080 h 1284096"/>
                    <a:gd name="connsiteX54" fmla="*/ 1009650 w 2057400"/>
                    <a:gd name="connsiteY54" fmla="*/ 1178280 h 1284096"/>
                    <a:gd name="connsiteX55" fmla="*/ 1028700 w 2057400"/>
                    <a:gd name="connsiteY55" fmla="*/ 1206855 h 1284096"/>
                    <a:gd name="connsiteX56" fmla="*/ 1095375 w 2057400"/>
                    <a:gd name="connsiteY56" fmla="*/ 1244955 h 1284096"/>
                    <a:gd name="connsiteX57" fmla="*/ 1104900 w 2057400"/>
                    <a:gd name="connsiteY57" fmla="*/ 1283055 h 1284096"/>
                    <a:gd name="connsiteX58" fmla="*/ 1123950 w 2057400"/>
                    <a:gd name="connsiteY58" fmla="*/ 1225905 h 1284096"/>
                    <a:gd name="connsiteX59" fmla="*/ 1133475 w 2057400"/>
                    <a:gd name="connsiteY59" fmla="*/ 1197330 h 1284096"/>
                    <a:gd name="connsiteX60" fmla="*/ 1200150 w 2057400"/>
                    <a:gd name="connsiteY60" fmla="*/ 1159230 h 1284096"/>
                    <a:gd name="connsiteX61" fmla="*/ 1238250 w 2057400"/>
                    <a:gd name="connsiteY61" fmla="*/ 1111605 h 1284096"/>
                    <a:gd name="connsiteX62" fmla="*/ 1295400 w 2057400"/>
                    <a:gd name="connsiteY62" fmla="*/ 1130655 h 1284096"/>
                    <a:gd name="connsiteX63" fmla="*/ 1466850 w 2057400"/>
                    <a:gd name="connsiteY63" fmla="*/ 1083030 h 1284096"/>
                    <a:gd name="connsiteX64" fmla="*/ 1514475 w 2057400"/>
                    <a:gd name="connsiteY64" fmla="*/ 1092555 h 1284096"/>
                    <a:gd name="connsiteX65" fmla="*/ 1543050 w 2057400"/>
                    <a:gd name="connsiteY65" fmla="*/ 1111605 h 1284096"/>
                    <a:gd name="connsiteX66" fmla="*/ 1609725 w 2057400"/>
                    <a:gd name="connsiteY66" fmla="*/ 1092555 h 1284096"/>
                    <a:gd name="connsiteX67" fmla="*/ 1619250 w 2057400"/>
                    <a:gd name="connsiteY67" fmla="*/ 1054455 h 1284096"/>
                    <a:gd name="connsiteX68" fmla="*/ 1628775 w 2057400"/>
                    <a:gd name="connsiteY68" fmla="*/ 1025880 h 1284096"/>
                    <a:gd name="connsiteX69" fmla="*/ 1638300 w 2057400"/>
                    <a:gd name="connsiteY69" fmla="*/ 978255 h 1284096"/>
                    <a:gd name="connsiteX70" fmla="*/ 1657350 w 2057400"/>
                    <a:gd name="connsiteY70" fmla="*/ 921105 h 1284096"/>
                    <a:gd name="connsiteX71" fmla="*/ 1666875 w 2057400"/>
                    <a:gd name="connsiteY71" fmla="*/ 892530 h 1284096"/>
                    <a:gd name="connsiteX72" fmla="*/ 1685925 w 2057400"/>
                    <a:gd name="connsiteY72" fmla="*/ 835380 h 1284096"/>
                    <a:gd name="connsiteX73" fmla="*/ 1724025 w 2057400"/>
                    <a:gd name="connsiteY73" fmla="*/ 778230 h 1284096"/>
                    <a:gd name="connsiteX74" fmla="*/ 1752600 w 2057400"/>
                    <a:gd name="connsiteY74" fmla="*/ 768705 h 1284096"/>
                    <a:gd name="connsiteX75" fmla="*/ 1809750 w 2057400"/>
                    <a:gd name="connsiteY75" fmla="*/ 721080 h 1284096"/>
                    <a:gd name="connsiteX76" fmla="*/ 1838325 w 2057400"/>
                    <a:gd name="connsiteY76" fmla="*/ 692505 h 1284096"/>
                    <a:gd name="connsiteX77" fmla="*/ 1895475 w 2057400"/>
                    <a:gd name="connsiteY77" fmla="*/ 682980 h 1284096"/>
                    <a:gd name="connsiteX78" fmla="*/ 1924050 w 2057400"/>
                    <a:gd name="connsiteY78" fmla="*/ 663930 h 1284096"/>
                    <a:gd name="connsiteX79" fmla="*/ 1943100 w 2057400"/>
                    <a:gd name="connsiteY79" fmla="*/ 635355 h 1284096"/>
                    <a:gd name="connsiteX80" fmla="*/ 1971675 w 2057400"/>
                    <a:gd name="connsiteY80" fmla="*/ 625830 h 1284096"/>
                    <a:gd name="connsiteX81" fmla="*/ 2000250 w 2057400"/>
                    <a:gd name="connsiteY81" fmla="*/ 597255 h 1284096"/>
                    <a:gd name="connsiteX82" fmla="*/ 2028825 w 2057400"/>
                    <a:gd name="connsiteY82" fmla="*/ 587730 h 1284096"/>
                    <a:gd name="connsiteX83" fmla="*/ 2057400 w 2057400"/>
                    <a:gd name="connsiteY83" fmla="*/ 530580 h 1284096"/>
                    <a:gd name="connsiteX84" fmla="*/ 2000250 w 2057400"/>
                    <a:gd name="connsiteY84" fmla="*/ 521055 h 1284096"/>
                    <a:gd name="connsiteX85" fmla="*/ 1924050 w 2057400"/>
                    <a:gd name="connsiteY85" fmla="*/ 511530 h 1284096"/>
                    <a:gd name="connsiteX86" fmla="*/ 1866900 w 2057400"/>
                    <a:gd name="connsiteY86" fmla="*/ 473430 h 1284096"/>
                    <a:gd name="connsiteX87" fmla="*/ 1838325 w 2057400"/>
                    <a:gd name="connsiteY87" fmla="*/ 444855 h 1284096"/>
                    <a:gd name="connsiteX88" fmla="*/ 1809750 w 2057400"/>
                    <a:gd name="connsiteY88" fmla="*/ 435330 h 1284096"/>
                    <a:gd name="connsiteX89" fmla="*/ 1733550 w 2057400"/>
                    <a:gd name="connsiteY89" fmla="*/ 416280 h 1284096"/>
                    <a:gd name="connsiteX90" fmla="*/ 1714500 w 2057400"/>
                    <a:gd name="connsiteY90" fmla="*/ 387705 h 1284096"/>
                    <a:gd name="connsiteX91" fmla="*/ 1676400 w 2057400"/>
                    <a:gd name="connsiteY91" fmla="*/ 397230 h 1284096"/>
                    <a:gd name="connsiteX92" fmla="*/ 1638300 w 2057400"/>
                    <a:gd name="connsiteY92" fmla="*/ 340080 h 1284096"/>
                    <a:gd name="connsiteX93" fmla="*/ 1609725 w 2057400"/>
                    <a:gd name="connsiteY93" fmla="*/ 330555 h 1284096"/>
                    <a:gd name="connsiteX94" fmla="*/ 1543050 w 2057400"/>
                    <a:gd name="connsiteY94" fmla="*/ 301980 h 1284096"/>
                    <a:gd name="connsiteX95" fmla="*/ 1514475 w 2057400"/>
                    <a:gd name="connsiteY95" fmla="*/ 273405 h 1284096"/>
                    <a:gd name="connsiteX96" fmla="*/ 1400175 w 2057400"/>
                    <a:gd name="connsiteY96" fmla="*/ 273405 h 1284096"/>
                    <a:gd name="connsiteX97" fmla="*/ 1381125 w 2057400"/>
                    <a:gd name="connsiteY97" fmla="*/ 244830 h 1284096"/>
                    <a:gd name="connsiteX98" fmla="*/ 1371600 w 2057400"/>
                    <a:gd name="connsiteY98" fmla="*/ 216255 h 1284096"/>
                    <a:gd name="connsiteX99" fmla="*/ 1343025 w 2057400"/>
                    <a:gd name="connsiteY99" fmla="*/ 206730 h 1284096"/>
                    <a:gd name="connsiteX100" fmla="*/ 1266825 w 2057400"/>
                    <a:gd name="connsiteY100" fmla="*/ 187680 h 12840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Lst>
                  <a:rect l="l" t="t" r="r" b="b"/>
                  <a:pathLst>
                    <a:path w="2057400" h="1284096">
                      <a:moveTo>
                        <a:pt x="1495425" y="273405"/>
                      </a:moveTo>
                      <a:cubicBezTo>
                        <a:pt x="1482230" y="270766"/>
                        <a:pt x="1435700" y="263508"/>
                        <a:pt x="1419225" y="254355"/>
                      </a:cubicBezTo>
                      <a:cubicBezTo>
                        <a:pt x="1332559" y="206207"/>
                        <a:pt x="1389036" y="233960"/>
                        <a:pt x="1333500" y="187680"/>
                      </a:cubicBezTo>
                      <a:cubicBezTo>
                        <a:pt x="1279506" y="142685"/>
                        <a:pt x="1332039" y="196161"/>
                        <a:pt x="1266825" y="149580"/>
                      </a:cubicBezTo>
                      <a:cubicBezTo>
                        <a:pt x="1204395" y="104987"/>
                        <a:pt x="1270972" y="131912"/>
                        <a:pt x="1209675" y="111480"/>
                      </a:cubicBezTo>
                      <a:cubicBezTo>
                        <a:pt x="1206500" y="98780"/>
                        <a:pt x="1198847" y="86406"/>
                        <a:pt x="1200150" y="73380"/>
                      </a:cubicBezTo>
                      <a:cubicBezTo>
                        <a:pt x="1202148" y="53399"/>
                        <a:pt x="1219200" y="16230"/>
                        <a:pt x="1219200" y="16230"/>
                      </a:cubicBezTo>
                      <a:cubicBezTo>
                        <a:pt x="1131464" y="-13015"/>
                        <a:pt x="1193336" y="3765"/>
                        <a:pt x="1000125" y="16230"/>
                      </a:cubicBezTo>
                      <a:cubicBezTo>
                        <a:pt x="965129" y="18488"/>
                        <a:pt x="930275" y="22580"/>
                        <a:pt x="895350" y="25755"/>
                      </a:cubicBezTo>
                      <a:cubicBezTo>
                        <a:pt x="885825" y="28930"/>
                        <a:pt x="873875" y="28180"/>
                        <a:pt x="866775" y="35280"/>
                      </a:cubicBezTo>
                      <a:cubicBezTo>
                        <a:pt x="859675" y="42380"/>
                        <a:pt x="858901" y="53951"/>
                        <a:pt x="857250" y="63855"/>
                      </a:cubicBezTo>
                      <a:cubicBezTo>
                        <a:pt x="852523" y="92215"/>
                        <a:pt x="850900" y="121005"/>
                        <a:pt x="847725" y="149580"/>
                      </a:cubicBezTo>
                      <a:cubicBezTo>
                        <a:pt x="831850" y="146405"/>
                        <a:pt x="815806" y="143982"/>
                        <a:pt x="800100" y="140055"/>
                      </a:cubicBezTo>
                      <a:cubicBezTo>
                        <a:pt x="790360" y="137620"/>
                        <a:pt x="781050" y="127355"/>
                        <a:pt x="771525" y="130530"/>
                      </a:cubicBezTo>
                      <a:cubicBezTo>
                        <a:pt x="758746" y="134790"/>
                        <a:pt x="752475" y="149580"/>
                        <a:pt x="742950" y="159105"/>
                      </a:cubicBezTo>
                      <a:cubicBezTo>
                        <a:pt x="721515" y="244845"/>
                        <a:pt x="742950" y="139620"/>
                        <a:pt x="742950" y="273405"/>
                      </a:cubicBezTo>
                      <a:cubicBezTo>
                        <a:pt x="742950" y="317968"/>
                        <a:pt x="740036" y="362685"/>
                        <a:pt x="733425" y="406755"/>
                      </a:cubicBezTo>
                      <a:cubicBezTo>
                        <a:pt x="730446" y="426613"/>
                        <a:pt x="714375" y="463905"/>
                        <a:pt x="714375" y="463905"/>
                      </a:cubicBezTo>
                      <a:cubicBezTo>
                        <a:pt x="711200" y="492480"/>
                        <a:pt x="715528" y="522936"/>
                        <a:pt x="704850" y="549630"/>
                      </a:cubicBezTo>
                      <a:cubicBezTo>
                        <a:pt x="701121" y="558952"/>
                        <a:pt x="686315" y="559155"/>
                        <a:pt x="676275" y="559155"/>
                      </a:cubicBezTo>
                      <a:cubicBezTo>
                        <a:pt x="641206" y="559155"/>
                        <a:pt x="606425" y="552805"/>
                        <a:pt x="571500" y="549630"/>
                      </a:cubicBezTo>
                      <a:cubicBezTo>
                        <a:pt x="568325" y="540105"/>
                        <a:pt x="564733" y="530709"/>
                        <a:pt x="561975" y="521055"/>
                      </a:cubicBezTo>
                      <a:cubicBezTo>
                        <a:pt x="558379" y="508468"/>
                        <a:pt x="560628" y="493177"/>
                        <a:pt x="552450" y="482955"/>
                      </a:cubicBezTo>
                      <a:cubicBezTo>
                        <a:pt x="546178" y="475115"/>
                        <a:pt x="533400" y="476605"/>
                        <a:pt x="523875" y="473430"/>
                      </a:cubicBezTo>
                      <a:cubicBezTo>
                        <a:pt x="511175" y="476605"/>
                        <a:pt x="494156" y="472898"/>
                        <a:pt x="485775" y="482955"/>
                      </a:cubicBezTo>
                      <a:cubicBezTo>
                        <a:pt x="423884" y="557224"/>
                        <a:pt x="522863" y="515042"/>
                        <a:pt x="447675" y="540105"/>
                      </a:cubicBezTo>
                      <a:cubicBezTo>
                        <a:pt x="423104" y="536595"/>
                        <a:pt x="379024" y="534355"/>
                        <a:pt x="352425" y="521055"/>
                      </a:cubicBezTo>
                      <a:cubicBezTo>
                        <a:pt x="342186" y="515935"/>
                        <a:pt x="333375" y="508355"/>
                        <a:pt x="323850" y="502005"/>
                      </a:cubicBezTo>
                      <a:cubicBezTo>
                        <a:pt x="304800" y="508355"/>
                        <a:pt x="283728" y="510412"/>
                        <a:pt x="266700" y="521055"/>
                      </a:cubicBezTo>
                      <a:cubicBezTo>
                        <a:pt x="251482" y="530566"/>
                        <a:pt x="232013" y="588722"/>
                        <a:pt x="228600" y="597255"/>
                      </a:cubicBezTo>
                      <a:cubicBezTo>
                        <a:pt x="152003" y="578106"/>
                        <a:pt x="145923" y="572550"/>
                        <a:pt x="28575" y="597255"/>
                      </a:cubicBezTo>
                      <a:cubicBezTo>
                        <a:pt x="15336" y="600042"/>
                        <a:pt x="3164" y="644914"/>
                        <a:pt x="0" y="654405"/>
                      </a:cubicBezTo>
                      <a:cubicBezTo>
                        <a:pt x="5438" y="681596"/>
                        <a:pt x="10979" y="713227"/>
                        <a:pt x="19050" y="740130"/>
                      </a:cubicBezTo>
                      <a:cubicBezTo>
                        <a:pt x="24820" y="759364"/>
                        <a:pt x="26961" y="780572"/>
                        <a:pt x="38100" y="797280"/>
                      </a:cubicBezTo>
                      <a:cubicBezTo>
                        <a:pt x="44450" y="806805"/>
                        <a:pt x="46392" y="821943"/>
                        <a:pt x="57150" y="825855"/>
                      </a:cubicBezTo>
                      <a:cubicBezTo>
                        <a:pt x="84170" y="835680"/>
                        <a:pt x="114300" y="832205"/>
                        <a:pt x="142875" y="835380"/>
                      </a:cubicBezTo>
                      <a:cubicBezTo>
                        <a:pt x="152400" y="838555"/>
                        <a:pt x="164350" y="837805"/>
                        <a:pt x="171450" y="844905"/>
                      </a:cubicBezTo>
                      <a:cubicBezTo>
                        <a:pt x="178550" y="852005"/>
                        <a:pt x="178540" y="863740"/>
                        <a:pt x="180975" y="873480"/>
                      </a:cubicBezTo>
                      <a:cubicBezTo>
                        <a:pt x="184782" y="888708"/>
                        <a:pt x="187150" y="938480"/>
                        <a:pt x="209550" y="949680"/>
                      </a:cubicBezTo>
                      <a:cubicBezTo>
                        <a:pt x="226824" y="958317"/>
                        <a:pt x="247847" y="955015"/>
                        <a:pt x="266700" y="959205"/>
                      </a:cubicBezTo>
                      <a:cubicBezTo>
                        <a:pt x="296276" y="965778"/>
                        <a:pt x="298162" y="970655"/>
                        <a:pt x="323850" y="987780"/>
                      </a:cubicBezTo>
                      <a:cubicBezTo>
                        <a:pt x="330200" y="997305"/>
                        <a:pt x="337780" y="1006116"/>
                        <a:pt x="342900" y="1016355"/>
                      </a:cubicBezTo>
                      <a:cubicBezTo>
                        <a:pt x="377276" y="1085107"/>
                        <a:pt x="293926" y="1040430"/>
                        <a:pt x="476250" y="1054455"/>
                      </a:cubicBezTo>
                      <a:cubicBezTo>
                        <a:pt x="485775" y="1063980"/>
                        <a:pt x="496201" y="1072682"/>
                        <a:pt x="504825" y="1083030"/>
                      </a:cubicBezTo>
                      <a:cubicBezTo>
                        <a:pt x="512154" y="1091824"/>
                        <a:pt x="512427" y="1111605"/>
                        <a:pt x="523875" y="1111605"/>
                      </a:cubicBezTo>
                      <a:cubicBezTo>
                        <a:pt x="535323" y="1111605"/>
                        <a:pt x="534830" y="1091125"/>
                        <a:pt x="542925" y="1083030"/>
                      </a:cubicBezTo>
                      <a:cubicBezTo>
                        <a:pt x="569978" y="1055977"/>
                        <a:pt x="612750" y="1051920"/>
                        <a:pt x="647700" y="1044930"/>
                      </a:cubicBezTo>
                      <a:cubicBezTo>
                        <a:pt x="654050" y="1035405"/>
                        <a:pt x="662241" y="1026877"/>
                        <a:pt x="666750" y="1016355"/>
                      </a:cubicBezTo>
                      <a:cubicBezTo>
                        <a:pt x="671907" y="1004323"/>
                        <a:pt x="663688" y="981851"/>
                        <a:pt x="676275" y="978255"/>
                      </a:cubicBezTo>
                      <a:cubicBezTo>
                        <a:pt x="695583" y="972738"/>
                        <a:pt x="733425" y="997305"/>
                        <a:pt x="733425" y="997305"/>
                      </a:cubicBezTo>
                      <a:cubicBezTo>
                        <a:pt x="847613" y="974467"/>
                        <a:pt x="796737" y="972932"/>
                        <a:pt x="885825" y="987780"/>
                      </a:cubicBezTo>
                      <a:cubicBezTo>
                        <a:pt x="892175" y="997305"/>
                        <a:pt x="899755" y="1006116"/>
                        <a:pt x="904875" y="1016355"/>
                      </a:cubicBezTo>
                      <a:cubicBezTo>
                        <a:pt x="919764" y="1046132"/>
                        <a:pt x="908675" y="1053299"/>
                        <a:pt x="933450" y="1083030"/>
                      </a:cubicBezTo>
                      <a:cubicBezTo>
                        <a:pt x="940779" y="1091824"/>
                        <a:pt x="952500" y="1095730"/>
                        <a:pt x="962025" y="1102080"/>
                      </a:cubicBezTo>
                      <a:cubicBezTo>
                        <a:pt x="984695" y="1170090"/>
                        <a:pt x="964367" y="1148091"/>
                        <a:pt x="1009650" y="1178280"/>
                      </a:cubicBezTo>
                      <a:cubicBezTo>
                        <a:pt x="1016000" y="1187805"/>
                        <a:pt x="1020605" y="1198760"/>
                        <a:pt x="1028700" y="1206855"/>
                      </a:cubicBezTo>
                      <a:cubicBezTo>
                        <a:pt x="1042163" y="1220318"/>
                        <a:pt x="1080434" y="1237484"/>
                        <a:pt x="1095375" y="1244955"/>
                      </a:cubicBezTo>
                      <a:cubicBezTo>
                        <a:pt x="1098550" y="1257655"/>
                        <a:pt x="1094008" y="1290317"/>
                        <a:pt x="1104900" y="1283055"/>
                      </a:cubicBezTo>
                      <a:cubicBezTo>
                        <a:pt x="1121608" y="1271916"/>
                        <a:pt x="1117600" y="1244955"/>
                        <a:pt x="1123950" y="1225905"/>
                      </a:cubicBezTo>
                      <a:cubicBezTo>
                        <a:pt x="1127125" y="1216380"/>
                        <a:pt x="1125121" y="1202899"/>
                        <a:pt x="1133475" y="1197330"/>
                      </a:cubicBezTo>
                      <a:cubicBezTo>
                        <a:pt x="1173864" y="1170404"/>
                        <a:pt x="1151811" y="1183400"/>
                        <a:pt x="1200150" y="1159230"/>
                      </a:cubicBezTo>
                      <a:cubicBezTo>
                        <a:pt x="1206098" y="1141387"/>
                        <a:pt x="1209527" y="1111605"/>
                        <a:pt x="1238250" y="1111605"/>
                      </a:cubicBezTo>
                      <a:cubicBezTo>
                        <a:pt x="1258330" y="1111605"/>
                        <a:pt x="1295400" y="1130655"/>
                        <a:pt x="1295400" y="1130655"/>
                      </a:cubicBezTo>
                      <a:cubicBezTo>
                        <a:pt x="1449500" y="1099835"/>
                        <a:pt x="1397864" y="1129021"/>
                        <a:pt x="1466850" y="1083030"/>
                      </a:cubicBezTo>
                      <a:cubicBezTo>
                        <a:pt x="1482725" y="1086205"/>
                        <a:pt x="1499316" y="1086871"/>
                        <a:pt x="1514475" y="1092555"/>
                      </a:cubicBezTo>
                      <a:cubicBezTo>
                        <a:pt x="1525194" y="1096575"/>
                        <a:pt x="1531717" y="1109986"/>
                        <a:pt x="1543050" y="1111605"/>
                      </a:cubicBezTo>
                      <a:cubicBezTo>
                        <a:pt x="1551422" y="1112801"/>
                        <a:pt x="1599002" y="1096129"/>
                        <a:pt x="1609725" y="1092555"/>
                      </a:cubicBezTo>
                      <a:cubicBezTo>
                        <a:pt x="1612900" y="1079855"/>
                        <a:pt x="1615654" y="1067042"/>
                        <a:pt x="1619250" y="1054455"/>
                      </a:cubicBezTo>
                      <a:cubicBezTo>
                        <a:pt x="1622008" y="1044801"/>
                        <a:pt x="1626340" y="1035620"/>
                        <a:pt x="1628775" y="1025880"/>
                      </a:cubicBezTo>
                      <a:cubicBezTo>
                        <a:pt x="1632702" y="1010174"/>
                        <a:pt x="1634040" y="993874"/>
                        <a:pt x="1638300" y="978255"/>
                      </a:cubicBezTo>
                      <a:cubicBezTo>
                        <a:pt x="1643584" y="958882"/>
                        <a:pt x="1651000" y="940155"/>
                        <a:pt x="1657350" y="921105"/>
                      </a:cubicBezTo>
                      <a:lnTo>
                        <a:pt x="1666875" y="892530"/>
                      </a:lnTo>
                      <a:lnTo>
                        <a:pt x="1685925" y="835380"/>
                      </a:lnTo>
                      <a:cubicBezTo>
                        <a:pt x="1695911" y="805422"/>
                        <a:pt x="1693447" y="798615"/>
                        <a:pt x="1724025" y="778230"/>
                      </a:cubicBezTo>
                      <a:cubicBezTo>
                        <a:pt x="1732379" y="772661"/>
                        <a:pt x="1743075" y="771880"/>
                        <a:pt x="1752600" y="768705"/>
                      </a:cubicBezTo>
                      <a:cubicBezTo>
                        <a:pt x="1836082" y="685223"/>
                        <a:pt x="1730184" y="787385"/>
                        <a:pt x="1809750" y="721080"/>
                      </a:cubicBezTo>
                      <a:cubicBezTo>
                        <a:pt x="1820098" y="712456"/>
                        <a:pt x="1826016" y="697976"/>
                        <a:pt x="1838325" y="692505"/>
                      </a:cubicBezTo>
                      <a:cubicBezTo>
                        <a:pt x="1855973" y="684661"/>
                        <a:pt x="1876425" y="686155"/>
                        <a:pt x="1895475" y="682980"/>
                      </a:cubicBezTo>
                      <a:cubicBezTo>
                        <a:pt x="1905000" y="676630"/>
                        <a:pt x="1915955" y="672025"/>
                        <a:pt x="1924050" y="663930"/>
                      </a:cubicBezTo>
                      <a:cubicBezTo>
                        <a:pt x="1932145" y="655835"/>
                        <a:pt x="1934161" y="642506"/>
                        <a:pt x="1943100" y="635355"/>
                      </a:cubicBezTo>
                      <a:cubicBezTo>
                        <a:pt x="1950940" y="629083"/>
                        <a:pt x="1962150" y="629005"/>
                        <a:pt x="1971675" y="625830"/>
                      </a:cubicBezTo>
                      <a:cubicBezTo>
                        <a:pt x="1981200" y="616305"/>
                        <a:pt x="1989042" y="604727"/>
                        <a:pt x="2000250" y="597255"/>
                      </a:cubicBezTo>
                      <a:cubicBezTo>
                        <a:pt x="2008604" y="591686"/>
                        <a:pt x="2020985" y="594002"/>
                        <a:pt x="2028825" y="587730"/>
                      </a:cubicBezTo>
                      <a:cubicBezTo>
                        <a:pt x="2045611" y="574301"/>
                        <a:pt x="2051125" y="549404"/>
                        <a:pt x="2057400" y="530580"/>
                      </a:cubicBezTo>
                      <a:cubicBezTo>
                        <a:pt x="1997990" y="490973"/>
                        <a:pt x="2059403" y="521055"/>
                        <a:pt x="2000250" y="521055"/>
                      </a:cubicBezTo>
                      <a:cubicBezTo>
                        <a:pt x="1974652" y="521055"/>
                        <a:pt x="1949450" y="514705"/>
                        <a:pt x="1924050" y="511530"/>
                      </a:cubicBezTo>
                      <a:cubicBezTo>
                        <a:pt x="1905000" y="498830"/>
                        <a:pt x="1883089" y="489619"/>
                        <a:pt x="1866900" y="473430"/>
                      </a:cubicBezTo>
                      <a:cubicBezTo>
                        <a:pt x="1857375" y="463905"/>
                        <a:pt x="1849533" y="452327"/>
                        <a:pt x="1838325" y="444855"/>
                      </a:cubicBezTo>
                      <a:cubicBezTo>
                        <a:pt x="1829971" y="439286"/>
                        <a:pt x="1819490" y="437765"/>
                        <a:pt x="1809750" y="435330"/>
                      </a:cubicBezTo>
                      <a:lnTo>
                        <a:pt x="1733550" y="416280"/>
                      </a:lnTo>
                      <a:cubicBezTo>
                        <a:pt x="1727200" y="406755"/>
                        <a:pt x="1725360" y="391325"/>
                        <a:pt x="1714500" y="387705"/>
                      </a:cubicBezTo>
                      <a:cubicBezTo>
                        <a:pt x="1702081" y="383565"/>
                        <a:pt x="1687501" y="404168"/>
                        <a:pt x="1676400" y="397230"/>
                      </a:cubicBezTo>
                      <a:cubicBezTo>
                        <a:pt x="1656985" y="385096"/>
                        <a:pt x="1660020" y="347320"/>
                        <a:pt x="1638300" y="340080"/>
                      </a:cubicBezTo>
                      <a:cubicBezTo>
                        <a:pt x="1628775" y="336905"/>
                        <a:pt x="1618953" y="334510"/>
                        <a:pt x="1609725" y="330555"/>
                      </a:cubicBezTo>
                      <a:cubicBezTo>
                        <a:pt x="1527335" y="295245"/>
                        <a:pt x="1610063" y="324318"/>
                        <a:pt x="1543050" y="301980"/>
                      </a:cubicBezTo>
                      <a:cubicBezTo>
                        <a:pt x="1533525" y="292455"/>
                        <a:pt x="1527254" y="277665"/>
                        <a:pt x="1514475" y="273405"/>
                      </a:cubicBezTo>
                      <a:cubicBezTo>
                        <a:pt x="1450672" y="252137"/>
                        <a:pt x="1444885" y="258502"/>
                        <a:pt x="1400175" y="273405"/>
                      </a:cubicBezTo>
                      <a:cubicBezTo>
                        <a:pt x="1393825" y="263880"/>
                        <a:pt x="1386245" y="255069"/>
                        <a:pt x="1381125" y="244830"/>
                      </a:cubicBezTo>
                      <a:cubicBezTo>
                        <a:pt x="1376635" y="235850"/>
                        <a:pt x="1378700" y="223355"/>
                        <a:pt x="1371600" y="216255"/>
                      </a:cubicBezTo>
                      <a:cubicBezTo>
                        <a:pt x="1364500" y="209155"/>
                        <a:pt x="1352826" y="208908"/>
                        <a:pt x="1343025" y="206730"/>
                      </a:cubicBezTo>
                      <a:cubicBezTo>
                        <a:pt x="1266041" y="189623"/>
                        <a:pt x="1307865" y="208200"/>
                        <a:pt x="1266825" y="187680"/>
                      </a:cubicBezTo>
                    </a:path>
                  </a:pathLst>
                </a:custGeom>
                <a:solidFill>
                  <a:schemeClr val="accent3">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a:solidFill>
                        <a:sysClr val="windowText" lastClr="000000"/>
                      </a:solidFill>
                    </a:rPr>
                    <a:t>Monte Plata</a:t>
                  </a:r>
                </a:p>
                <a:p>
                  <a:pPr algn="ctr"/>
                  <a:r>
                    <a:rPr lang="es-ES" sz="1100" b="1">
                      <a:solidFill>
                        <a:sysClr val="windowText" lastClr="000000"/>
                      </a:solidFill>
                    </a:rPr>
                    <a:t>16,318</a:t>
                  </a:r>
                </a:p>
                <a:p>
                  <a:pPr algn="ctr"/>
                  <a:r>
                    <a:rPr lang="es-ES" sz="1100" b="1">
                      <a:solidFill>
                        <a:sysClr val="windowText" lastClr="000000"/>
                      </a:solidFill>
                    </a:rPr>
                    <a:t>0.6%</a:t>
                  </a:r>
                </a:p>
              </xdr:txBody>
            </xdr:sp>
            <xdr:sp macro="" textlink="">
              <xdr:nvSpPr>
                <xdr:cNvPr id="15" name="Forma libre 14"/>
                <xdr:cNvSpPr/>
              </xdr:nvSpPr>
              <xdr:spPr>
                <a:xfrm>
                  <a:off x="4340037" y="3042296"/>
                  <a:ext cx="1554302" cy="877157"/>
                </a:xfrm>
                <a:custGeom>
                  <a:avLst/>
                  <a:gdLst>
                    <a:gd name="connsiteX0" fmla="*/ 336738 w 1546413"/>
                    <a:gd name="connsiteY0" fmla="*/ 162855 h 810555"/>
                    <a:gd name="connsiteX1" fmla="*/ 289113 w 1546413"/>
                    <a:gd name="connsiteY1" fmla="*/ 143805 h 810555"/>
                    <a:gd name="connsiteX2" fmla="*/ 231963 w 1546413"/>
                    <a:gd name="connsiteY2" fmla="*/ 96180 h 810555"/>
                    <a:gd name="connsiteX3" fmla="*/ 146238 w 1546413"/>
                    <a:gd name="connsiteY3" fmla="*/ 77130 h 810555"/>
                    <a:gd name="connsiteX4" fmla="*/ 136713 w 1546413"/>
                    <a:gd name="connsiteY4" fmla="*/ 48555 h 810555"/>
                    <a:gd name="connsiteX5" fmla="*/ 70038 w 1546413"/>
                    <a:gd name="connsiteY5" fmla="*/ 930 h 810555"/>
                    <a:gd name="connsiteX6" fmla="*/ 3363 w 1546413"/>
                    <a:gd name="connsiteY6" fmla="*/ 10455 h 810555"/>
                    <a:gd name="connsiteX7" fmla="*/ 22413 w 1546413"/>
                    <a:gd name="connsiteY7" fmla="*/ 67605 h 810555"/>
                    <a:gd name="connsiteX8" fmla="*/ 50988 w 1546413"/>
                    <a:gd name="connsiteY8" fmla="*/ 134280 h 810555"/>
                    <a:gd name="connsiteX9" fmla="*/ 70038 w 1546413"/>
                    <a:gd name="connsiteY9" fmla="*/ 210480 h 810555"/>
                    <a:gd name="connsiteX10" fmla="*/ 41463 w 1546413"/>
                    <a:gd name="connsiteY10" fmla="*/ 229530 h 810555"/>
                    <a:gd name="connsiteX11" fmla="*/ 31938 w 1546413"/>
                    <a:gd name="connsiteY11" fmla="*/ 286680 h 810555"/>
                    <a:gd name="connsiteX12" fmla="*/ 60513 w 1546413"/>
                    <a:gd name="connsiteY12" fmla="*/ 296205 h 810555"/>
                    <a:gd name="connsiteX13" fmla="*/ 89088 w 1546413"/>
                    <a:gd name="connsiteY13" fmla="*/ 315255 h 810555"/>
                    <a:gd name="connsiteX14" fmla="*/ 98613 w 1546413"/>
                    <a:gd name="connsiteY14" fmla="*/ 343830 h 810555"/>
                    <a:gd name="connsiteX15" fmla="*/ 89088 w 1546413"/>
                    <a:gd name="connsiteY15" fmla="*/ 458130 h 810555"/>
                    <a:gd name="connsiteX16" fmla="*/ 117663 w 1546413"/>
                    <a:gd name="connsiteY16" fmla="*/ 467655 h 810555"/>
                    <a:gd name="connsiteX17" fmla="*/ 155763 w 1546413"/>
                    <a:gd name="connsiteY17" fmla="*/ 477180 h 810555"/>
                    <a:gd name="connsiteX18" fmla="*/ 184338 w 1546413"/>
                    <a:gd name="connsiteY18" fmla="*/ 496230 h 810555"/>
                    <a:gd name="connsiteX19" fmla="*/ 193863 w 1546413"/>
                    <a:gd name="connsiteY19" fmla="*/ 524805 h 810555"/>
                    <a:gd name="connsiteX20" fmla="*/ 251013 w 1546413"/>
                    <a:gd name="connsiteY20" fmla="*/ 515280 h 810555"/>
                    <a:gd name="connsiteX21" fmla="*/ 317688 w 1546413"/>
                    <a:gd name="connsiteY21" fmla="*/ 524805 h 810555"/>
                    <a:gd name="connsiteX22" fmla="*/ 298638 w 1546413"/>
                    <a:gd name="connsiteY22" fmla="*/ 591480 h 810555"/>
                    <a:gd name="connsiteX23" fmla="*/ 327213 w 1546413"/>
                    <a:gd name="connsiteY23" fmla="*/ 610530 h 810555"/>
                    <a:gd name="connsiteX24" fmla="*/ 393888 w 1546413"/>
                    <a:gd name="connsiteY24" fmla="*/ 620055 h 810555"/>
                    <a:gd name="connsiteX25" fmla="*/ 384363 w 1546413"/>
                    <a:gd name="connsiteY25" fmla="*/ 648630 h 810555"/>
                    <a:gd name="connsiteX26" fmla="*/ 365313 w 1546413"/>
                    <a:gd name="connsiteY26" fmla="*/ 677205 h 810555"/>
                    <a:gd name="connsiteX27" fmla="*/ 374838 w 1546413"/>
                    <a:gd name="connsiteY27" fmla="*/ 734355 h 810555"/>
                    <a:gd name="connsiteX28" fmla="*/ 403413 w 1546413"/>
                    <a:gd name="connsiteY28" fmla="*/ 705780 h 810555"/>
                    <a:gd name="connsiteX29" fmla="*/ 451038 w 1546413"/>
                    <a:gd name="connsiteY29" fmla="*/ 620055 h 810555"/>
                    <a:gd name="connsiteX30" fmla="*/ 441513 w 1546413"/>
                    <a:gd name="connsiteY30" fmla="*/ 572430 h 810555"/>
                    <a:gd name="connsiteX31" fmla="*/ 384363 w 1546413"/>
                    <a:gd name="connsiteY31" fmla="*/ 534330 h 810555"/>
                    <a:gd name="connsiteX32" fmla="*/ 365313 w 1546413"/>
                    <a:gd name="connsiteY32" fmla="*/ 505755 h 810555"/>
                    <a:gd name="connsiteX33" fmla="*/ 393888 w 1546413"/>
                    <a:gd name="connsiteY33" fmla="*/ 496230 h 810555"/>
                    <a:gd name="connsiteX34" fmla="*/ 403413 w 1546413"/>
                    <a:gd name="connsiteY34" fmla="*/ 467655 h 810555"/>
                    <a:gd name="connsiteX35" fmla="*/ 470088 w 1546413"/>
                    <a:gd name="connsiteY35" fmla="*/ 439080 h 810555"/>
                    <a:gd name="connsiteX36" fmla="*/ 479613 w 1546413"/>
                    <a:gd name="connsiteY36" fmla="*/ 467655 h 810555"/>
                    <a:gd name="connsiteX37" fmla="*/ 489138 w 1546413"/>
                    <a:gd name="connsiteY37" fmla="*/ 505755 h 810555"/>
                    <a:gd name="connsiteX38" fmla="*/ 555813 w 1546413"/>
                    <a:gd name="connsiteY38" fmla="*/ 496230 h 810555"/>
                    <a:gd name="connsiteX39" fmla="*/ 584388 w 1546413"/>
                    <a:gd name="connsiteY39" fmla="*/ 486705 h 810555"/>
                    <a:gd name="connsiteX40" fmla="*/ 622488 w 1546413"/>
                    <a:gd name="connsiteY40" fmla="*/ 534330 h 810555"/>
                    <a:gd name="connsiteX41" fmla="*/ 670113 w 1546413"/>
                    <a:gd name="connsiteY41" fmla="*/ 524805 h 810555"/>
                    <a:gd name="connsiteX42" fmla="*/ 698688 w 1546413"/>
                    <a:gd name="connsiteY42" fmla="*/ 534330 h 810555"/>
                    <a:gd name="connsiteX43" fmla="*/ 670113 w 1546413"/>
                    <a:gd name="connsiteY43" fmla="*/ 591480 h 810555"/>
                    <a:gd name="connsiteX44" fmla="*/ 660588 w 1546413"/>
                    <a:gd name="connsiteY44" fmla="*/ 620055 h 810555"/>
                    <a:gd name="connsiteX45" fmla="*/ 917763 w 1546413"/>
                    <a:gd name="connsiteY45" fmla="*/ 629580 h 810555"/>
                    <a:gd name="connsiteX46" fmla="*/ 946338 w 1546413"/>
                    <a:gd name="connsiteY46" fmla="*/ 648630 h 810555"/>
                    <a:gd name="connsiteX47" fmla="*/ 974913 w 1546413"/>
                    <a:gd name="connsiteY47" fmla="*/ 658155 h 810555"/>
                    <a:gd name="connsiteX48" fmla="*/ 1051113 w 1546413"/>
                    <a:gd name="connsiteY48" fmla="*/ 648630 h 810555"/>
                    <a:gd name="connsiteX49" fmla="*/ 1079688 w 1546413"/>
                    <a:gd name="connsiteY49" fmla="*/ 639105 h 810555"/>
                    <a:gd name="connsiteX50" fmla="*/ 1108263 w 1546413"/>
                    <a:gd name="connsiteY50" fmla="*/ 648630 h 810555"/>
                    <a:gd name="connsiteX51" fmla="*/ 1136838 w 1546413"/>
                    <a:gd name="connsiteY51" fmla="*/ 715305 h 810555"/>
                    <a:gd name="connsiteX52" fmla="*/ 1165413 w 1546413"/>
                    <a:gd name="connsiteY52" fmla="*/ 772455 h 810555"/>
                    <a:gd name="connsiteX53" fmla="*/ 1222563 w 1546413"/>
                    <a:gd name="connsiteY53" fmla="*/ 810555 h 810555"/>
                    <a:gd name="connsiteX54" fmla="*/ 1279713 w 1546413"/>
                    <a:gd name="connsiteY54" fmla="*/ 801030 h 810555"/>
                    <a:gd name="connsiteX55" fmla="*/ 1298763 w 1546413"/>
                    <a:gd name="connsiteY55" fmla="*/ 772455 h 810555"/>
                    <a:gd name="connsiteX56" fmla="*/ 1270188 w 1546413"/>
                    <a:gd name="connsiteY56" fmla="*/ 715305 h 810555"/>
                    <a:gd name="connsiteX57" fmla="*/ 1403538 w 1546413"/>
                    <a:gd name="connsiteY57" fmla="*/ 696255 h 810555"/>
                    <a:gd name="connsiteX58" fmla="*/ 1432113 w 1546413"/>
                    <a:gd name="connsiteY58" fmla="*/ 753405 h 810555"/>
                    <a:gd name="connsiteX59" fmla="*/ 1498788 w 1546413"/>
                    <a:gd name="connsiteY59" fmla="*/ 781980 h 810555"/>
                    <a:gd name="connsiteX60" fmla="*/ 1527363 w 1546413"/>
                    <a:gd name="connsiteY60" fmla="*/ 772455 h 810555"/>
                    <a:gd name="connsiteX61" fmla="*/ 1517838 w 1546413"/>
                    <a:gd name="connsiteY61" fmla="*/ 734355 h 810555"/>
                    <a:gd name="connsiteX62" fmla="*/ 1546413 w 1546413"/>
                    <a:gd name="connsiteY62" fmla="*/ 620055 h 810555"/>
                    <a:gd name="connsiteX63" fmla="*/ 1536888 w 1546413"/>
                    <a:gd name="connsiteY63" fmla="*/ 572430 h 810555"/>
                    <a:gd name="connsiteX64" fmla="*/ 1422588 w 1546413"/>
                    <a:gd name="connsiteY64" fmla="*/ 562905 h 810555"/>
                    <a:gd name="connsiteX65" fmla="*/ 1355913 w 1546413"/>
                    <a:gd name="connsiteY65" fmla="*/ 534330 h 810555"/>
                    <a:gd name="connsiteX66" fmla="*/ 1327338 w 1546413"/>
                    <a:gd name="connsiteY66" fmla="*/ 524805 h 810555"/>
                    <a:gd name="connsiteX67" fmla="*/ 1308288 w 1546413"/>
                    <a:gd name="connsiteY67" fmla="*/ 496230 h 810555"/>
                    <a:gd name="connsiteX68" fmla="*/ 1346388 w 1546413"/>
                    <a:gd name="connsiteY68" fmla="*/ 429555 h 810555"/>
                    <a:gd name="connsiteX69" fmla="*/ 1374963 w 1546413"/>
                    <a:gd name="connsiteY69" fmla="*/ 362880 h 810555"/>
                    <a:gd name="connsiteX70" fmla="*/ 1403538 w 1546413"/>
                    <a:gd name="connsiteY70" fmla="*/ 277155 h 810555"/>
                    <a:gd name="connsiteX71" fmla="*/ 1394013 w 1546413"/>
                    <a:gd name="connsiteY71" fmla="*/ 239055 h 810555"/>
                    <a:gd name="connsiteX72" fmla="*/ 1365438 w 1546413"/>
                    <a:gd name="connsiteY72" fmla="*/ 229530 h 810555"/>
                    <a:gd name="connsiteX73" fmla="*/ 1355913 w 1546413"/>
                    <a:gd name="connsiteY73" fmla="*/ 191430 h 810555"/>
                    <a:gd name="connsiteX74" fmla="*/ 1327338 w 1546413"/>
                    <a:gd name="connsiteY74" fmla="*/ 181905 h 810555"/>
                    <a:gd name="connsiteX75" fmla="*/ 1298763 w 1546413"/>
                    <a:gd name="connsiteY75" fmla="*/ 162855 h 810555"/>
                    <a:gd name="connsiteX76" fmla="*/ 1184463 w 1546413"/>
                    <a:gd name="connsiteY76" fmla="*/ 181905 h 810555"/>
                    <a:gd name="connsiteX77" fmla="*/ 1051113 w 1546413"/>
                    <a:gd name="connsiteY77" fmla="*/ 172380 h 810555"/>
                    <a:gd name="connsiteX78" fmla="*/ 1003488 w 1546413"/>
                    <a:gd name="connsiteY78" fmla="*/ 258105 h 810555"/>
                    <a:gd name="connsiteX79" fmla="*/ 974913 w 1546413"/>
                    <a:gd name="connsiteY79" fmla="*/ 267630 h 810555"/>
                    <a:gd name="connsiteX80" fmla="*/ 965388 w 1546413"/>
                    <a:gd name="connsiteY80" fmla="*/ 296205 h 810555"/>
                    <a:gd name="connsiteX81" fmla="*/ 955863 w 1546413"/>
                    <a:gd name="connsiteY81" fmla="*/ 334305 h 810555"/>
                    <a:gd name="connsiteX82" fmla="*/ 927288 w 1546413"/>
                    <a:gd name="connsiteY82" fmla="*/ 353355 h 810555"/>
                    <a:gd name="connsiteX83" fmla="*/ 898713 w 1546413"/>
                    <a:gd name="connsiteY83" fmla="*/ 343830 h 810555"/>
                    <a:gd name="connsiteX84" fmla="*/ 889188 w 1546413"/>
                    <a:gd name="connsiteY84" fmla="*/ 315255 h 810555"/>
                    <a:gd name="connsiteX85" fmla="*/ 870138 w 1546413"/>
                    <a:gd name="connsiteY85" fmla="*/ 286680 h 810555"/>
                    <a:gd name="connsiteX86" fmla="*/ 860613 w 1546413"/>
                    <a:gd name="connsiteY86" fmla="*/ 258105 h 810555"/>
                    <a:gd name="connsiteX87" fmla="*/ 832038 w 1546413"/>
                    <a:gd name="connsiteY87" fmla="*/ 239055 h 810555"/>
                    <a:gd name="connsiteX88" fmla="*/ 812988 w 1546413"/>
                    <a:gd name="connsiteY88" fmla="*/ 210480 h 810555"/>
                    <a:gd name="connsiteX89" fmla="*/ 793938 w 1546413"/>
                    <a:gd name="connsiteY89" fmla="*/ 153330 h 810555"/>
                    <a:gd name="connsiteX90" fmla="*/ 736788 w 1546413"/>
                    <a:gd name="connsiteY90" fmla="*/ 115230 h 810555"/>
                    <a:gd name="connsiteX91" fmla="*/ 708213 w 1546413"/>
                    <a:gd name="connsiteY91" fmla="*/ 86655 h 810555"/>
                    <a:gd name="connsiteX92" fmla="*/ 689163 w 1546413"/>
                    <a:gd name="connsiteY92" fmla="*/ 58080 h 810555"/>
                    <a:gd name="connsiteX93" fmla="*/ 651063 w 1546413"/>
                    <a:gd name="connsiteY93" fmla="*/ 39030 h 810555"/>
                    <a:gd name="connsiteX94" fmla="*/ 584388 w 1546413"/>
                    <a:gd name="connsiteY94" fmla="*/ 48555 h 810555"/>
                    <a:gd name="connsiteX95" fmla="*/ 508188 w 1546413"/>
                    <a:gd name="connsiteY95" fmla="*/ 39030 h 810555"/>
                    <a:gd name="connsiteX96" fmla="*/ 489138 w 1546413"/>
                    <a:gd name="connsiteY96" fmla="*/ 105705 h 810555"/>
                    <a:gd name="connsiteX97" fmla="*/ 451038 w 1546413"/>
                    <a:gd name="connsiteY97" fmla="*/ 115230 h 810555"/>
                    <a:gd name="connsiteX98" fmla="*/ 374838 w 1546413"/>
                    <a:gd name="connsiteY98" fmla="*/ 124755 h 810555"/>
                    <a:gd name="connsiteX99" fmla="*/ 336738 w 1546413"/>
                    <a:gd name="connsiteY99" fmla="*/ 181905 h 810555"/>
                    <a:gd name="connsiteX100" fmla="*/ 336738 w 1546413"/>
                    <a:gd name="connsiteY100" fmla="*/ 162855 h 8105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Lst>
                  <a:rect l="l" t="t" r="r" b="b"/>
                  <a:pathLst>
                    <a:path w="1546413" h="810555">
                      <a:moveTo>
                        <a:pt x="336738" y="162855"/>
                      </a:moveTo>
                      <a:cubicBezTo>
                        <a:pt x="328801" y="156505"/>
                        <a:pt x="303612" y="152867"/>
                        <a:pt x="289113" y="143805"/>
                      </a:cubicBezTo>
                      <a:cubicBezTo>
                        <a:pt x="258797" y="124857"/>
                        <a:pt x="266347" y="107641"/>
                        <a:pt x="231963" y="96180"/>
                      </a:cubicBezTo>
                      <a:cubicBezTo>
                        <a:pt x="204193" y="86923"/>
                        <a:pt x="174813" y="83480"/>
                        <a:pt x="146238" y="77130"/>
                      </a:cubicBezTo>
                      <a:cubicBezTo>
                        <a:pt x="143063" y="67605"/>
                        <a:pt x="142282" y="56909"/>
                        <a:pt x="136713" y="48555"/>
                      </a:cubicBezTo>
                      <a:cubicBezTo>
                        <a:pt x="117405" y="19594"/>
                        <a:pt x="99834" y="15828"/>
                        <a:pt x="70038" y="930"/>
                      </a:cubicBezTo>
                      <a:cubicBezTo>
                        <a:pt x="47813" y="4105"/>
                        <a:pt x="16412" y="-7814"/>
                        <a:pt x="3363" y="10455"/>
                      </a:cubicBezTo>
                      <a:cubicBezTo>
                        <a:pt x="-8309" y="26795"/>
                        <a:pt x="13433" y="49644"/>
                        <a:pt x="22413" y="67605"/>
                      </a:cubicBezTo>
                      <a:cubicBezTo>
                        <a:pt x="36043" y="94865"/>
                        <a:pt x="43980" y="106250"/>
                        <a:pt x="50988" y="134280"/>
                      </a:cubicBezTo>
                      <a:lnTo>
                        <a:pt x="70038" y="210480"/>
                      </a:lnTo>
                      <a:cubicBezTo>
                        <a:pt x="60513" y="216830"/>
                        <a:pt x="49558" y="221435"/>
                        <a:pt x="41463" y="229530"/>
                      </a:cubicBezTo>
                      <a:cubicBezTo>
                        <a:pt x="25677" y="245316"/>
                        <a:pt x="11046" y="265788"/>
                        <a:pt x="31938" y="286680"/>
                      </a:cubicBezTo>
                      <a:cubicBezTo>
                        <a:pt x="39038" y="293780"/>
                        <a:pt x="51533" y="291715"/>
                        <a:pt x="60513" y="296205"/>
                      </a:cubicBezTo>
                      <a:cubicBezTo>
                        <a:pt x="70752" y="301325"/>
                        <a:pt x="79563" y="308905"/>
                        <a:pt x="89088" y="315255"/>
                      </a:cubicBezTo>
                      <a:cubicBezTo>
                        <a:pt x="92263" y="324780"/>
                        <a:pt x="98613" y="333790"/>
                        <a:pt x="98613" y="343830"/>
                      </a:cubicBezTo>
                      <a:cubicBezTo>
                        <a:pt x="98613" y="382062"/>
                        <a:pt x="83275" y="420343"/>
                        <a:pt x="89088" y="458130"/>
                      </a:cubicBezTo>
                      <a:cubicBezTo>
                        <a:pt x="90615" y="468053"/>
                        <a:pt x="108009" y="464897"/>
                        <a:pt x="117663" y="467655"/>
                      </a:cubicBezTo>
                      <a:cubicBezTo>
                        <a:pt x="130250" y="471251"/>
                        <a:pt x="143063" y="474005"/>
                        <a:pt x="155763" y="477180"/>
                      </a:cubicBezTo>
                      <a:cubicBezTo>
                        <a:pt x="165288" y="483530"/>
                        <a:pt x="177187" y="487291"/>
                        <a:pt x="184338" y="496230"/>
                      </a:cubicBezTo>
                      <a:cubicBezTo>
                        <a:pt x="190610" y="504070"/>
                        <a:pt x="184209" y="522047"/>
                        <a:pt x="193863" y="524805"/>
                      </a:cubicBezTo>
                      <a:cubicBezTo>
                        <a:pt x="212433" y="530111"/>
                        <a:pt x="231963" y="518455"/>
                        <a:pt x="251013" y="515280"/>
                      </a:cubicBezTo>
                      <a:cubicBezTo>
                        <a:pt x="273238" y="518455"/>
                        <a:pt x="300441" y="510432"/>
                        <a:pt x="317688" y="524805"/>
                      </a:cubicBezTo>
                      <a:cubicBezTo>
                        <a:pt x="320808" y="527405"/>
                        <a:pt x="300737" y="585184"/>
                        <a:pt x="298638" y="591480"/>
                      </a:cubicBezTo>
                      <a:cubicBezTo>
                        <a:pt x="308163" y="597830"/>
                        <a:pt x="316248" y="607241"/>
                        <a:pt x="327213" y="610530"/>
                      </a:cubicBezTo>
                      <a:cubicBezTo>
                        <a:pt x="348717" y="616981"/>
                        <a:pt x="375208" y="607602"/>
                        <a:pt x="393888" y="620055"/>
                      </a:cubicBezTo>
                      <a:cubicBezTo>
                        <a:pt x="402242" y="625624"/>
                        <a:pt x="388853" y="639650"/>
                        <a:pt x="384363" y="648630"/>
                      </a:cubicBezTo>
                      <a:cubicBezTo>
                        <a:pt x="379243" y="658869"/>
                        <a:pt x="371663" y="667680"/>
                        <a:pt x="365313" y="677205"/>
                      </a:cubicBezTo>
                      <a:cubicBezTo>
                        <a:pt x="368488" y="696255"/>
                        <a:pt x="359388" y="722767"/>
                        <a:pt x="374838" y="734355"/>
                      </a:cubicBezTo>
                      <a:cubicBezTo>
                        <a:pt x="385614" y="742437"/>
                        <a:pt x="395143" y="716413"/>
                        <a:pt x="403413" y="705780"/>
                      </a:cubicBezTo>
                      <a:cubicBezTo>
                        <a:pt x="441624" y="656652"/>
                        <a:pt x="436667" y="663169"/>
                        <a:pt x="451038" y="620055"/>
                      </a:cubicBezTo>
                      <a:cubicBezTo>
                        <a:pt x="447863" y="604180"/>
                        <a:pt x="451452" y="585209"/>
                        <a:pt x="441513" y="572430"/>
                      </a:cubicBezTo>
                      <a:cubicBezTo>
                        <a:pt x="427457" y="554358"/>
                        <a:pt x="384363" y="534330"/>
                        <a:pt x="384363" y="534330"/>
                      </a:cubicBezTo>
                      <a:cubicBezTo>
                        <a:pt x="378013" y="524805"/>
                        <a:pt x="362537" y="516861"/>
                        <a:pt x="365313" y="505755"/>
                      </a:cubicBezTo>
                      <a:cubicBezTo>
                        <a:pt x="367748" y="496015"/>
                        <a:pt x="386788" y="503330"/>
                        <a:pt x="393888" y="496230"/>
                      </a:cubicBezTo>
                      <a:cubicBezTo>
                        <a:pt x="400988" y="489130"/>
                        <a:pt x="396313" y="474755"/>
                        <a:pt x="403413" y="467655"/>
                      </a:cubicBezTo>
                      <a:cubicBezTo>
                        <a:pt x="415183" y="455885"/>
                        <a:pt x="453011" y="444772"/>
                        <a:pt x="470088" y="439080"/>
                      </a:cubicBezTo>
                      <a:cubicBezTo>
                        <a:pt x="473263" y="448605"/>
                        <a:pt x="476855" y="458001"/>
                        <a:pt x="479613" y="467655"/>
                      </a:cubicBezTo>
                      <a:cubicBezTo>
                        <a:pt x="483209" y="480242"/>
                        <a:pt x="476881" y="501158"/>
                        <a:pt x="489138" y="505755"/>
                      </a:cubicBezTo>
                      <a:cubicBezTo>
                        <a:pt x="510159" y="513638"/>
                        <a:pt x="533588" y="499405"/>
                        <a:pt x="555813" y="496230"/>
                      </a:cubicBezTo>
                      <a:cubicBezTo>
                        <a:pt x="565338" y="493055"/>
                        <a:pt x="574484" y="485054"/>
                        <a:pt x="584388" y="486705"/>
                      </a:cubicBezTo>
                      <a:cubicBezTo>
                        <a:pt x="614800" y="491774"/>
                        <a:pt x="615059" y="512042"/>
                        <a:pt x="622488" y="534330"/>
                      </a:cubicBezTo>
                      <a:cubicBezTo>
                        <a:pt x="638363" y="531155"/>
                        <a:pt x="653924" y="524805"/>
                        <a:pt x="670113" y="524805"/>
                      </a:cubicBezTo>
                      <a:cubicBezTo>
                        <a:pt x="680153" y="524805"/>
                        <a:pt x="694198" y="525350"/>
                        <a:pt x="698688" y="534330"/>
                      </a:cubicBezTo>
                      <a:lnTo>
                        <a:pt x="670113" y="591480"/>
                      </a:lnTo>
                      <a:cubicBezTo>
                        <a:pt x="665623" y="600460"/>
                        <a:pt x="663763" y="610530"/>
                        <a:pt x="660588" y="620055"/>
                      </a:cubicBezTo>
                      <a:cubicBezTo>
                        <a:pt x="746313" y="623230"/>
                        <a:pt x="832405" y="621044"/>
                        <a:pt x="917763" y="629580"/>
                      </a:cubicBezTo>
                      <a:cubicBezTo>
                        <a:pt x="929154" y="630719"/>
                        <a:pt x="936099" y="643510"/>
                        <a:pt x="946338" y="648630"/>
                      </a:cubicBezTo>
                      <a:cubicBezTo>
                        <a:pt x="955318" y="653120"/>
                        <a:pt x="965388" y="654980"/>
                        <a:pt x="974913" y="658155"/>
                      </a:cubicBezTo>
                      <a:cubicBezTo>
                        <a:pt x="1000313" y="654980"/>
                        <a:pt x="1025928" y="653209"/>
                        <a:pt x="1051113" y="648630"/>
                      </a:cubicBezTo>
                      <a:cubicBezTo>
                        <a:pt x="1060991" y="646834"/>
                        <a:pt x="1069648" y="639105"/>
                        <a:pt x="1079688" y="639105"/>
                      </a:cubicBezTo>
                      <a:cubicBezTo>
                        <a:pt x="1089728" y="639105"/>
                        <a:pt x="1098738" y="645455"/>
                        <a:pt x="1108263" y="648630"/>
                      </a:cubicBezTo>
                      <a:cubicBezTo>
                        <a:pt x="1128087" y="727924"/>
                        <a:pt x="1103949" y="649526"/>
                        <a:pt x="1136838" y="715305"/>
                      </a:cubicBezTo>
                      <a:cubicBezTo>
                        <a:pt x="1149672" y="740972"/>
                        <a:pt x="1141149" y="751224"/>
                        <a:pt x="1165413" y="772455"/>
                      </a:cubicBezTo>
                      <a:cubicBezTo>
                        <a:pt x="1182643" y="787532"/>
                        <a:pt x="1222563" y="810555"/>
                        <a:pt x="1222563" y="810555"/>
                      </a:cubicBezTo>
                      <a:cubicBezTo>
                        <a:pt x="1241613" y="807380"/>
                        <a:pt x="1262439" y="809667"/>
                        <a:pt x="1279713" y="801030"/>
                      </a:cubicBezTo>
                      <a:cubicBezTo>
                        <a:pt x="1289952" y="795910"/>
                        <a:pt x="1296881" y="783747"/>
                        <a:pt x="1298763" y="772455"/>
                      </a:cubicBezTo>
                      <a:cubicBezTo>
                        <a:pt x="1301392" y="756681"/>
                        <a:pt x="1276822" y="725256"/>
                        <a:pt x="1270188" y="715305"/>
                      </a:cubicBezTo>
                      <a:cubicBezTo>
                        <a:pt x="1290918" y="653114"/>
                        <a:pt x="1277476" y="662639"/>
                        <a:pt x="1403538" y="696255"/>
                      </a:cubicBezTo>
                      <a:cubicBezTo>
                        <a:pt x="1423952" y="701699"/>
                        <a:pt x="1422656" y="741584"/>
                        <a:pt x="1432113" y="753405"/>
                      </a:cubicBezTo>
                      <a:cubicBezTo>
                        <a:pt x="1448558" y="773961"/>
                        <a:pt x="1475909" y="776260"/>
                        <a:pt x="1498788" y="781980"/>
                      </a:cubicBezTo>
                      <a:cubicBezTo>
                        <a:pt x="1508313" y="778805"/>
                        <a:pt x="1523634" y="781777"/>
                        <a:pt x="1527363" y="772455"/>
                      </a:cubicBezTo>
                      <a:cubicBezTo>
                        <a:pt x="1532225" y="760300"/>
                        <a:pt x="1517838" y="747446"/>
                        <a:pt x="1517838" y="734355"/>
                      </a:cubicBezTo>
                      <a:cubicBezTo>
                        <a:pt x="1517838" y="653436"/>
                        <a:pt x="1515711" y="666108"/>
                        <a:pt x="1546413" y="620055"/>
                      </a:cubicBezTo>
                      <a:cubicBezTo>
                        <a:pt x="1543238" y="604180"/>
                        <a:pt x="1551587" y="579214"/>
                        <a:pt x="1536888" y="572430"/>
                      </a:cubicBezTo>
                      <a:cubicBezTo>
                        <a:pt x="1502175" y="556409"/>
                        <a:pt x="1460485" y="567958"/>
                        <a:pt x="1422588" y="562905"/>
                      </a:cubicBezTo>
                      <a:cubicBezTo>
                        <a:pt x="1400971" y="560023"/>
                        <a:pt x="1374104" y="542126"/>
                        <a:pt x="1355913" y="534330"/>
                      </a:cubicBezTo>
                      <a:cubicBezTo>
                        <a:pt x="1346685" y="530375"/>
                        <a:pt x="1336863" y="527980"/>
                        <a:pt x="1327338" y="524805"/>
                      </a:cubicBezTo>
                      <a:cubicBezTo>
                        <a:pt x="1320988" y="515280"/>
                        <a:pt x="1309708" y="507589"/>
                        <a:pt x="1308288" y="496230"/>
                      </a:cubicBezTo>
                      <a:cubicBezTo>
                        <a:pt x="1302403" y="449150"/>
                        <a:pt x="1316827" y="449263"/>
                        <a:pt x="1346388" y="429555"/>
                      </a:cubicBezTo>
                      <a:cubicBezTo>
                        <a:pt x="1358036" y="406259"/>
                        <a:pt x="1369357" y="388107"/>
                        <a:pt x="1374963" y="362880"/>
                      </a:cubicBezTo>
                      <a:cubicBezTo>
                        <a:pt x="1392073" y="285883"/>
                        <a:pt x="1370394" y="326870"/>
                        <a:pt x="1403538" y="277155"/>
                      </a:cubicBezTo>
                      <a:cubicBezTo>
                        <a:pt x="1400363" y="264455"/>
                        <a:pt x="1402191" y="249277"/>
                        <a:pt x="1394013" y="239055"/>
                      </a:cubicBezTo>
                      <a:cubicBezTo>
                        <a:pt x="1387741" y="231215"/>
                        <a:pt x="1371710" y="237370"/>
                        <a:pt x="1365438" y="229530"/>
                      </a:cubicBezTo>
                      <a:cubicBezTo>
                        <a:pt x="1357260" y="219308"/>
                        <a:pt x="1364091" y="201652"/>
                        <a:pt x="1355913" y="191430"/>
                      </a:cubicBezTo>
                      <a:cubicBezTo>
                        <a:pt x="1349641" y="183590"/>
                        <a:pt x="1336318" y="186395"/>
                        <a:pt x="1327338" y="181905"/>
                      </a:cubicBezTo>
                      <a:cubicBezTo>
                        <a:pt x="1317099" y="176785"/>
                        <a:pt x="1308288" y="169205"/>
                        <a:pt x="1298763" y="162855"/>
                      </a:cubicBezTo>
                      <a:cubicBezTo>
                        <a:pt x="1271721" y="168263"/>
                        <a:pt x="1208092" y="181905"/>
                        <a:pt x="1184463" y="181905"/>
                      </a:cubicBezTo>
                      <a:cubicBezTo>
                        <a:pt x="1139900" y="181905"/>
                        <a:pt x="1095563" y="175555"/>
                        <a:pt x="1051113" y="172380"/>
                      </a:cubicBezTo>
                      <a:cubicBezTo>
                        <a:pt x="1042726" y="197541"/>
                        <a:pt x="1028052" y="249917"/>
                        <a:pt x="1003488" y="258105"/>
                      </a:cubicBezTo>
                      <a:lnTo>
                        <a:pt x="974913" y="267630"/>
                      </a:lnTo>
                      <a:cubicBezTo>
                        <a:pt x="971738" y="277155"/>
                        <a:pt x="968146" y="286551"/>
                        <a:pt x="965388" y="296205"/>
                      </a:cubicBezTo>
                      <a:cubicBezTo>
                        <a:pt x="961792" y="308792"/>
                        <a:pt x="963125" y="323413"/>
                        <a:pt x="955863" y="334305"/>
                      </a:cubicBezTo>
                      <a:cubicBezTo>
                        <a:pt x="949513" y="343830"/>
                        <a:pt x="936813" y="347005"/>
                        <a:pt x="927288" y="353355"/>
                      </a:cubicBezTo>
                      <a:cubicBezTo>
                        <a:pt x="917763" y="350180"/>
                        <a:pt x="905813" y="350930"/>
                        <a:pt x="898713" y="343830"/>
                      </a:cubicBezTo>
                      <a:cubicBezTo>
                        <a:pt x="891613" y="336730"/>
                        <a:pt x="893678" y="324235"/>
                        <a:pt x="889188" y="315255"/>
                      </a:cubicBezTo>
                      <a:cubicBezTo>
                        <a:pt x="884068" y="305016"/>
                        <a:pt x="875258" y="296919"/>
                        <a:pt x="870138" y="286680"/>
                      </a:cubicBezTo>
                      <a:cubicBezTo>
                        <a:pt x="865648" y="277700"/>
                        <a:pt x="866885" y="265945"/>
                        <a:pt x="860613" y="258105"/>
                      </a:cubicBezTo>
                      <a:cubicBezTo>
                        <a:pt x="853462" y="249166"/>
                        <a:pt x="841563" y="245405"/>
                        <a:pt x="832038" y="239055"/>
                      </a:cubicBezTo>
                      <a:cubicBezTo>
                        <a:pt x="825688" y="229530"/>
                        <a:pt x="817637" y="220941"/>
                        <a:pt x="812988" y="210480"/>
                      </a:cubicBezTo>
                      <a:cubicBezTo>
                        <a:pt x="804833" y="192130"/>
                        <a:pt x="810646" y="164469"/>
                        <a:pt x="793938" y="153330"/>
                      </a:cubicBezTo>
                      <a:cubicBezTo>
                        <a:pt x="774888" y="140630"/>
                        <a:pt x="752977" y="131419"/>
                        <a:pt x="736788" y="115230"/>
                      </a:cubicBezTo>
                      <a:cubicBezTo>
                        <a:pt x="727263" y="105705"/>
                        <a:pt x="716837" y="97003"/>
                        <a:pt x="708213" y="86655"/>
                      </a:cubicBezTo>
                      <a:cubicBezTo>
                        <a:pt x="700884" y="77861"/>
                        <a:pt x="697957" y="65409"/>
                        <a:pt x="689163" y="58080"/>
                      </a:cubicBezTo>
                      <a:cubicBezTo>
                        <a:pt x="678255" y="48990"/>
                        <a:pt x="663763" y="45380"/>
                        <a:pt x="651063" y="39030"/>
                      </a:cubicBezTo>
                      <a:cubicBezTo>
                        <a:pt x="628838" y="42205"/>
                        <a:pt x="606839" y="48555"/>
                        <a:pt x="584388" y="48555"/>
                      </a:cubicBezTo>
                      <a:cubicBezTo>
                        <a:pt x="558790" y="48555"/>
                        <a:pt x="532472" y="30935"/>
                        <a:pt x="508188" y="39030"/>
                      </a:cubicBezTo>
                      <a:cubicBezTo>
                        <a:pt x="506208" y="39690"/>
                        <a:pt x="495148" y="100897"/>
                        <a:pt x="489138" y="105705"/>
                      </a:cubicBezTo>
                      <a:cubicBezTo>
                        <a:pt x="478916" y="113883"/>
                        <a:pt x="463951" y="113078"/>
                        <a:pt x="451038" y="115230"/>
                      </a:cubicBezTo>
                      <a:cubicBezTo>
                        <a:pt x="425789" y="119438"/>
                        <a:pt x="400238" y="121580"/>
                        <a:pt x="374838" y="124755"/>
                      </a:cubicBezTo>
                      <a:cubicBezTo>
                        <a:pt x="364587" y="176011"/>
                        <a:pt x="379901" y="171114"/>
                        <a:pt x="336738" y="181905"/>
                      </a:cubicBezTo>
                      <a:cubicBezTo>
                        <a:pt x="333658" y="182675"/>
                        <a:pt x="344675" y="169205"/>
                        <a:pt x="336738" y="162855"/>
                      </a:cubicBezTo>
                      <a:close/>
                    </a:path>
                  </a:pathLst>
                </a:custGeom>
                <a:solidFill>
                  <a:schemeClr val="accent5">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ES" sz="1100" b="1">
                      <a:solidFill>
                        <a:schemeClr val="bg1"/>
                      </a:solidFill>
                    </a:rPr>
                    <a:t>Santo Domingo</a:t>
                  </a:r>
                </a:p>
                <a:p>
                  <a:pPr algn="ctr"/>
                  <a:r>
                    <a:rPr lang="es-ES" sz="1100" b="1">
                      <a:solidFill>
                        <a:schemeClr val="bg1"/>
                      </a:solidFill>
                    </a:rPr>
                    <a:t>       411,341</a:t>
                  </a:r>
                </a:p>
                <a:p>
                  <a:pPr algn="ctr"/>
                  <a:r>
                    <a:rPr lang="es-ES" sz="1100" b="1">
                      <a:solidFill>
                        <a:schemeClr val="bg1"/>
                      </a:solidFill>
                    </a:rPr>
                    <a:t>           14.1%</a:t>
                  </a:r>
                </a:p>
              </xdr:txBody>
            </xdr:sp>
            <xdr:grpSp>
              <xdr:nvGrpSpPr>
                <xdr:cNvPr id="16" name="Grupo 15"/>
                <xdr:cNvGrpSpPr/>
              </xdr:nvGrpSpPr>
              <xdr:grpSpPr>
                <a:xfrm>
                  <a:off x="5600700" y="2114551"/>
                  <a:ext cx="3077610" cy="2200274"/>
                  <a:chOff x="5600700" y="2114551"/>
                  <a:chExt cx="3077610" cy="2200274"/>
                </a:xfrm>
              </xdr:grpSpPr>
              <xdr:sp macro="" textlink="">
                <xdr:nvSpPr>
                  <xdr:cNvPr id="17" name="Forma libre 16"/>
                  <xdr:cNvSpPr/>
                </xdr:nvSpPr>
                <xdr:spPr>
                  <a:xfrm>
                    <a:off x="5600700" y="2114551"/>
                    <a:ext cx="1228725" cy="1409700"/>
                  </a:xfrm>
                  <a:custGeom>
                    <a:avLst/>
                    <a:gdLst>
                      <a:gd name="connsiteX0" fmla="*/ 1047750 w 1228725"/>
                      <a:gd name="connsiteY0" fmla="*/ 285750 h 1429809"/>
                      <a:gd name="connsiteX1" fmla="*/ 1066800 w 1228725"/>
                      <a:gd name="connsiteY1" fmla="*/ 238125 h 1429809"/>
                      <a:gd name="connsiteX2" fmla="*/ 1038225 w 1228725"/>
                      <a:gd name="connsiteY2" fmla="*/ 219075 h 1429809"/>
                      <a:gd name="connsiteX3" fmla="*/ 971550 w 1228725"/>
                      <a:gd name="connsiteY3" fmla="*/ 200025 h 1429809"/>
                      <a:gd name="connsiteX4" fmla="*/ 952500 w 1228725"/>
                      <a:gd name="connsiteY4" fmla="*/ 171450 h 1429809"/>
                      <a:gd name="connsiteX5" fmla="*/ 885825 w 1228725"/>
                      <a:gd name="connsiteY5" fmla="*/ 209550 h 1429809"/>
                      <a:gd name="connsiteX6" fmla="*/ 838200 w 1228725"/>
                      <a:gd name="connsiteY6" fmla="*/ 219075 h 1429809"/>
                      <a:gd name="connsiteX7" fmla="*/ 790575 w 1228725"/>
                      <a:gd name="connsiteY7" fmla="*/ 209550 h 1429809"/>
                      <a:gd name="connsiteX8" fmla="*/ 781050 w 1228725"/>
                      <a:gd name="connsiteY8" fmla="*/ 180975 h 1429809"/>
                      <a:gd name="connsiteX9" fmla="*/ 771525 w 1228725"/>
                      <a:gd name="connsiteY9" fmla="*/ 142875 h 1429809"/>
                      <a:gd name="connsiteX10" fmla="*/ 638175 w 1228725"/>
                      <a:gd name="connsiteY10" fmla="*/ 142875 h 1429809"/>
                      <a:gd name="connsiteX11" fmla="*/ 628650 w 1228725"/>
                      <a:gd name="connsiteY11" fmla="*/ 114300 h 1429809"/>
                      <a:gd name="connsiteX12" fmla="*/ 609600 w 1228725"/>
                      <a:gd name="connsiteY12" fmla="*/ 85725 h 1429809"/>
                      <a:gd name="connsiteX13" fmla="*/ 581025 w 1228725"/>
                      <a:gd name="connsiteY13" fmla="*/ 57150 h 1429809"/>
                      <a:gd name="connsiteX14" fmla="*/ 542925 w 1228725"/>
                      <a:gd name="connsiteY14" fmla="*/ 0 h 1429809"/>
                      <a:gd name="connsiteX15" fmla="*/ 447675 w 1228725"/>
                      <a:gd name="connsiteY15" fmla="*/ 9525 h 1429809"/>
                      <a:gd name="connsiteX16" fmla="*/ 419100 w 1228725"/>
                      <a:gd name="connsiteY16" fmla="*/ 76200 h 1429809"/>
                      <a:gd name="connsiteX17" fmla="*/ 390525 w 1228725"/>
                      <a:gd name="connsiteY17" fmla="*/ 85725 h 1429809"/>
                      <a:gd name="connsiteX18" fmla="*/ 304800 w 1228725"/>
                      <a:gd name="connsiteY18" fmla="*/ 66675 h 1429809"/>
                      <a:gd name="connsiteX19" fmla="*/ 257175 w 1228725"/>
                      <a:gd name="connsiteY19" fmla="*/ 28575 h 1429809"/>
                      <a:gd name="connsiteX20" fmla="*/ 190500 w 1228725"/>
                      <a:gd name="connsiteY20" fmla="*/ 38100 h 1429809"/>
                      <a:gd name="connsiteX21" fmla="*/ 133350 w 1228725"/>
                      <a:gd name="connsiteY21" fmla="*/ 57150 h 1429809"/>
                      <a:gd name="connsiteX22" fmla="*/ 76200 w 1228725"/>
                      <a:gd name="connsiteY22" fmla="*/ 47625 h 1429809"/>
                      <a:gd name="connsiteX23" fmla="*/ 47625 w 1228725"/>
                      <a:gd name="connsiteY23" fmla="*/ 104775 h 1429809"/>
                      <a:gd name="connsiteX24" fmla="*/ 38100 w 1228725"/>
                      <a:gd name="connsiteY24" fmla="*/ 142875 h 1429809"/>
                      <a:gd name="connsiteX25" fmla="*/ 19050 w 1228725"/>
                      <a:gd name="connsiteY25" fmla="*/ 200025 h 1429809"/>
                      <a:gd name="connsiteX26" fmla="*/ 0 w 1228725"/>
                      <a:gd name="connsiteY26" fmla="*/ 266700 h 1429809"/>
                      <a:gd name="connsiteX27" fmla="*/ 133350 w 1228725"/>
                      <a:gd name="connsiteY27" fmla="*/ 295275 h 1429809"/>
                      <a:gd name="connsiteX28" fmla="*/ 161925 w 1228725"/>
                      <a:gd name="connsiteY28" fmla="*/ 314325 h 1429809"/>
                      <a:gd name="connsiteX29" fmla="*/ 190500 w 1228725"/>
                      <a:gd name="connsiteY29" fmla="*/ 323850 h 1429809"/>
                      <a:gd name="connsiteX30" fmla="*/ 209550 w 1228725"/>
                      <a:gd name="connsiteY30" fmla="*/ 352425 h 1429809"/>
                      <a:gd name="connsiteX31" fmla="*/ 238125 w 1228725"/>
                      <a:gd name="connsiteY31" fmla="*/ 361950 h 1429809"/>
                      <a:gd name="connsiteX32" fmla="*/ 247650 w 1228725"/>
                      <a:gd name="connsiteY32" fmla="*/ 409575 h 1429809"/>
                      <a:gd name="connsiteX33" fmla="*/ 285750 w 1228725"/>
                      <a:gd name="connsiteY33" fmla="*/ 400050 h 1429809"/>
                      <a:gd name="connsiteX34" fmla="*/ 342900 w 1228725"/>
                      <a:gd name="connsiteY34" fmla="*/ 438150 h 1429809"/>
                      <a:gd name="connsiteX35" fmla="*/ 361950 w 1228725"/>
                      <a:gd name="connsiteY35" fmla="*/ 466725 h 1429809"/>
                      <a:gd name="connsiteX36" fmla="*/ 504825 w 1228725"/>
                      <a:gd name="connsiteY36" fmla="*/ 495300 h 1429809"/>
                      <a:gd name="connsiteX37" fmla="*/ 561975 w 1228725"/>
                      <a:gd name="connsiteY37" fmla="*/ 514350 h 1429809"/>
                      <a:gd name="connsiteX38" fmla="*/ 590550 w 1228725"/>
                      <a:gd name="connsiteY38" fmla="*/ 533400 h 1429809"/>
                      <a:gd name="connsiteX39" fmla="*/ 647700 w 1228725"/>
                      <a:gd name="connsiteY39" fmla="*/ 552450 h 1429809"/>
                      <a:gd name="connsiteX40" fmla="*/ 600075 w 1228725"/>
                      <a:gd name="connsiteY40" fmla="*/ 609600 h 1429809"/>
                      <a:gd name="connsiteX41" fmla="*/ 571500 w 1228725"/>
                      <a:gd name="connsiteY41" fmla="*/ 619125 h 1429809"/>
                      <a:gd name="connsiteX42" fmla="*/ 533400 w 1228725"/>
                      <a:gd name="connsiteY42" fmla="*/ 647700 h 1429809"/>
                      <a:gd name="connsiteX43" fmla="*/ 504825 w 1228725"/>
                      <a:gd name="connsiteY43" fmla="*/ 657225 h 1429809"/>
                      <a:gd name="connsiteX44" fmla="*/ 457200 w 1228725"/>
                      <a:gd name="connsiteY44" fmla="*/ 714375 h 1429809"/>
                      <a:gd name="connsiteX45" fmla="*/ 428625 w 1228725"/>
                      <a:gd name="connsiteY45" fmla="*/ 733425 h 1429809"/>
                      <a:gd name="connsiteX46" fmla="*/ 409575 w 1228725"/>
                      <a:gd name="connsiteY46" fmla="*/ 762000 h 1429809"/>
                      <a:gd name="connsiteX47" fmla="*/ 428625 w 1228725"/>
                      <a:gd name="connsiteY47" fmla="*/ 895350 h 1429809"/>
                      <a:gd name="connsiteX48" fmla="*/ 447675 w 1228725"/>
                      <a:gd name="connsiteY48" fmla="*/ 990600 h 1429809"/>
                      <a:gd name="connsiteX49" fmla="*/ 485775 w 1228725"/>
                      <a:gd name="connsiteY49" fmla="*/ 1095375 h 1429809"/>
                      <a:gd name="connsiteX50" fmla="*/ 514350 w 1228725"/>
                      <a:gd name="connsiteY50" fmla="*/ 1104900 h 1429809"/>
                      <a:gd name="connsiteX51" fmla="*/ 533400 w 1228725"/>
                      <a:gd name="connsiteY51" fmla="*/ 1190625 h 1429809"/>
                      <a:gd name="connsiteX52" fmla="*/ 542925 w 1228725"/>
                      <a:gd name="connsiteY52" fmla="*/ 1219200 h 1429809"/>
                      <a:gd name="connsiteX53" fmla="*/ 552450 w 1228725"/>
                      <a:gd name="connsiteY53" fmla="*/ 1257300 h 1429809"/>
                      <a:gd name="connsiteX54" fmla="*/ 571500 w 1228725"/>
                      <a:gd name="connsiteY54" fmla="*/ 1314450 h 1429809"/>
                      <a:gd name="connsiteX55" fmla="*/ 628650 w 1228725"/>
                      <a:gd name="connsiteY55" fmla="*/ 1371600 h 1429809"/>
                      <a:gd name="connsiteX56" fmla="*/ 657225 w 1228725"/>
                      <a:gd name="connsiteY56" fmla="*/ 1428750 h 1429809"/>
                      <a:gd name="connsiteX57" fmla="*/ 704850 w 1228725"/>
                      <a:gd name="connsiteY57" fmla="*/ 1419225 h 1429809"/>
                      <a:gd name="connsiteX58" fmla="*/ 733425 w 1228725"/>
                      <a:gd name="connsiteY58" fmla="*/ 1304925 h 1429809"/>
                      <a:gd name="connsiteX59" fmla="*/ 762000 w 1228725"/>
                      <a:gd name="connsiteY59" fmla="*/ 1295400 h 1429809"/>
                      <a:gd name="connsiteX60" fmla="*/ 781050 w 1228725"/>
                      <a:gd name="connsiteY60" fmla="*/ 1266825 h 1429809"/>
                      <a:gd name="connsiteX61" fmla="*/ 800100 w 1228725"/>
                      <a:gd name="connsiteY61" fmla="*/ 1209675 h 1429809"/>
                      <a:gd name="connsiteX62" fmla="*/ 895350 w 1228725"/>
                      <a:gd name="connsiteY62" fmla="*/ 1171575 h 1429809"/>
                      <a:gd name="connsiteX63" fmla="*/ 904875 w 1228725"/>
                      <a:gd name="connsiteY63" fmla="*/ 1104900 h 1429809"/>
                      <a:gd name="connsiteX64" fmla="*/ 962025 w 1228725"/>
                      <a:gd name="connsiteY64" fmla="*/ 1066800 h 1429809"/>
                      <a:gd name="connsiteX65" fmla="*/ 962025 w 1228725"/>
                      <a:gd name="connsiteY65" fmla="*/ 1009650 h 1429809"/>
                      <a:gd name="connsiteX66" fmla="*/ 1009650 w 1228725"/>
                      <a:gd name="connsiteY66" fmla="*/ 895350 h 1429809"/>
                      <a:gd name="connsiteX67" fmla="*/ 1028700 w 1228725"/>
                      <a:gd name="connsiteY67" fmla="*/ 866775 h 1429809"/>
                      <a:gd name="connsiteX68" fmla="*/ 1009650 w 1228725"/>
                      <a:gd name="connsiteY68" fmla="*/ 809625 h 1429809"/>
                      <a:gd name="connsiteX69" fmla="*/ 971550 w 1228725"/>
                      <a:gd name="connsiteY69" fmla="*/ 752475 h 1429809"/>
                      <a:gd name="connsiteX70" fmla="*/ 942975 w 1228725"/>
                      <a:gd name="connsiteY70" fmla="*/ 742950 h 1429809"/>
                      <a:gd name="connsiteX71" fmla="*/ 933450 w 1228725"/>
                      <a:gd name="connsiteY71" fmla="*/ 695325 h 1429809"/>
                      <a:gd name="connsiteX72" fmla="*/ 866775 w 1228725"/>
                      <a:gd name="connsiteY72" fmla="*/ 666750 h 1429809"/>
                      <a:gd name="connsiteX73" fmla="*/ 857250 w 1228725"/>
                      <a:gd name="connsiteY73" fmla="*/ 638175 h 1429809"/>
                      <a:gd name="connsiteX74" fmla="*/ 790575 w 1228725"/>
                      <a:gd name="connsiteY74" fmla="*/ 609600 h 1429809"/>
                      <a:gd name="connsiteX75" fmla="*/ 762000 w 1228725"/>
                      <a:gd name="connsiteY75" fmla="*/ 552450 h 1429809"/>
                      <a:gd name="connsiteX76" fmla="*/ 714375 w 1228725"/>
                      <a:gd name="connsiteY76" fmla="*/ 495300 h 1429809"/>
                      <a:gd name="connsiteX77" fmla="*/ 695325 w 1228725"/>
                      <a:gd name="connsiteY77" fmla="*/ 438150 h 1429809"/>
                      <a:gd name="connsiteX78" fmla="*/ 704850 w 1228725"/>
                      <a:gd name="connsiteY78" fmla="*/ 400050 h 1429809"/>
                      <a:gd name="connsiteX79" fmla="*/ 866775 w 1228725"/>
                      <a:gd name="connsiteY79" fmla="*/ 390525 h 1429809"/>
                      <a:gd name="connsiteX80" fmla="*/ 876300 w 1228725"/>
                      <a:gd name="connsiteY80" fmla="*/ 419100 h 1429809"/>
                      <a:gd name="connsiteX81" fmla="*/ 904875 w 1228725"/>
                      <a:gd name="connsiteY81" fmla="*/ 428625 h 1429809"/>
                      <a:gd name="connsiteX82" fmla="*/ 990600 w 1228725"/>
                      <a:gd name="connsiteY82" fmla="*/ 438150 h 1429809"/>
                      <a:gd name="connsiteX83" fmla="*/ 1019175 w 1228725"/>
                      <a:gd name="connsiteY83" fmla="*/ 457200 h 1429809"/>
                      <a:gd name="connsiteX84" fmla="*/ 1228725 w 1228725"/>
                      <a:gd name="connsiteY84" fmla="*/ 457200 h 1429809"/>
                      <a:gd name="connsiteX85" fmla="*/ 1085850 w 1228725"/>
                      <a:gd name="connsiteY85" fmla="*/ 390525 h 1429809"/>
                      <a:gd name="connsiteX86" fmla="*/ 1066800 w 1228725"/>
                      <a:gd name="connsiteY86" fmla="*/ 361950 h 1429809"/>
                      <a:gd name="connsiteX87" fmla="*/ 1076325 w 1228725"/>
                      <a:gd name="connsiteY87" fmla="*/ 304800 h 1429809"/>
                      <a:gd name="connsiteX88" fmla="*/ 1047750 w 1228725"/>
                      <a:gd name="connsiteY88" fmla="*/ 285750 h 1429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Lst>
                    <a:rect l="l" t="t" r="r" b="b"/>
                    <a:pathLst>
                      <a:path w="1228725" h="1429809">
                        <a:moveTo>
                          <a:pt x="1047750" y="285750"/>
                        </a:moveTo>
                        <a:cubicBezTo>
                          <a:pt x="1046163" y="274638"/>
                          <a:pt x="1069218" y="255051"/>
                          <a:pt x="1066800" y="238125"/>
                        </a:cubicBezTo>
                        <a:cubicBezTo>
                          <a:pt x="1065181" y="226792"/>
                          <a:pt x="1048854" y="223327"/>
                          <a:pt x="1038225" y="219075"/>
                        </a:cubicBezTo>
                        <a:cubicBezTo>
                          <a:pt x="1016764" y="210491"/>
                          <a:pt x="993775" y="206375"/>
                          <a:pt x="971550" y="200025"/>
                        </a:cubicBezTo>
                        <a:cubicBezTo>
                          <a:pt x="965200" y="190500"/>
                          <a:pt x="963360" y="175070"/>
                          <a:pt x="952500" y="171450"/>
                        </a:cubicBezTo>
                        <a:cubicBezTo>
                          <a:pt x="915090" y="158980"/>
                          <a:pt x="909499" y="197713"/>
                          <a:pt x="885825" y="209550"/>
                        </a:cubicBezTo>
                        <a:cubicBezTo>
                          <a:pt x="871345" y="216790"/>
                          <a:pt x="854075" y="215900"/>
                          <a:pt x="838200" y="219075"/>
                        </a:cubicBezTo>
                        <a:cubicBezTo>
                          <a:pt x="822325" y="215900"/>
                          <a:pt x="804045" y="218530"/>
                          <a:pt x="790575" y="209550"/>
                        </a:cubicBezTo>
                        <a:cubicBezTo>
                          <a:pt x="782221" y="203981"/>
                          <a:pt x="783808" y="190629"/>
                          <a:pt x="781050" y="180975"/>
                        </a:cubicBezTo>
                        <a:cubicBezTo>
                          <a:pt x="777454" y="168388"/>
                          <a:pt x="774700" y="155575"/>
                          <a:pt x="771525" y="142875"/>
                        </a:cubicBezTo>
                        <a:cubicBezTo>
                          <a:pt x="721554" y="155368"/>
                          <a:pt x="699932" y="165332"/>
                          <a:pt x="638175" y="142875"/>
                        </a:cubicBezTo>
                        <a:cubicBezTo>
                          <a:pt x="628739" y="139444"/>
                          <a:pt x="633140" y="123280"/>
                          <a:pt x="628650" y="114300"/>
                        </a:cubicBezTo>
                        <a:cubicBezTo>
                          <a:pt x="623530" y="104061"/>
                          <a:pt x="616929" y="94519"/>
                          <a:pt x="609600" y="85725"/>
                        </a:cubicBezTo>
                        <a:cubicBezTo>
                          <a:pt x="600976" y="75377"/>
                          <a:pt x="589295" y="67783"/>
                          <a:pt x="581025" y="57150"/>
                        </a:cubicBezTo>
                        <a:cubicBezTo>
                          <a:pt x="566969" y="39078"/>
                          <a:pt x="542925" y="0"/>
                          <a:pt x="542925" y="0"/>
                        </a:cubicBezTo>
                        <a:cubicBezTo>
                          <a:pt x="511175" y="3175"/>
                          <a:pt x="477946" y="-565"/>
                          <a:pt x="447675" y="9525"/>
                        </a:cubicBezTo>
                        <a:cubicBezTo>
                          <a:pt x="422579" y="17890"/>
                          <a:pt x="430012" y="62561"/>
                          <a:pt x="419100" y="76200"/>
                        </a:cubicBezTo>
                        <a:cubicBezTo>
                          <a:pt x="412828" y="84040"/>
                          <a:pt x="400050" y="82550"/>
                          <a:pt x="390525" y="85725"/>
                        </a:cubicBezTo>
                        <a:cubicBezTo>
                          <a:pt x="389940" y="85628"/>
                          <a:pt x="317141" y="76548"/>
                          <a:pt x="304800" y="66675"/>
                        </a:cubicBezTo>
                        <a:cubicBezTo>
                          <a:pt x="243252" y="17436"/>
                          <a:pt x="328999" y="52516"/>
                          <a:pt x="257175" y="28575"/>
                        </a:cubicBezTo>
                        <a:cubicBezTo>
                          <a:pt x="234950" y="31750"/>
                          <a:pt x="212376" y="33052"/>
                          <a:pt x="190500" y="38100"/>
                        </a:cubicBezTo>
                        <a:cubicBezTo>
                          <a:pt x="170934" y="42615"/>
                          <a:pt x="133350" y="57150"/>
                          <a:pt x="133350" y="57150"/>
                        </a:cubicBezTo>
                        <a:cubicBezTo>
                          <a:pt x="114300" y="53975"/>
                          <a:pt x="94936" y="42941"/>
                          <a:pt x="76200" y="47625"/>
                        </a:cubicBezTo>
                        <a:cubicBezTo>
                          <a:pt x="63355" y="50836"/>
                          <a:pt x="50443" y="94912"/>
                          <a:pt x="47625" y="104775"/>
                        </a:cubicBezTo>
                        <a:cubicBezTo>
                          <a:pt x="44029" y="117362"/>
                          <a:pt x="41862" y="130336"/>
                          <a:pt x="38100" y="142875"/>
                        </a:cubicBezTo>
                        <a:cubicBezTo>
                          <a:pt x="32330" y="162109"/>
                          <a:pt x="23920" y="180544"/>
                          <a:pt x="19050" y="200025"/>
                        </a:cubicBezTo>
                        <a:cubicBezTo>
                          <a:pt x="7090" y="247865"/>
                          <a:pt x="13665" y="225706"/>
                          <a:pt x="0" y="266700"/>
                        </a:cubicBezTo>
                        <a:cubicBezTo>
                          <a:pt x="68097" y="312098"/>
                          <a:pt x="-14510" y="263591"/>
                          <a:pt x="133350" y="295275"/>
                        </a:cubicBezTo>
                        <a:cubicBezTo>
                          <a:pt x="144544" y="297674"/>
                          <a:pt x="151686" y="309205"/>
                          <a:pt x="161925" y="314325"/>
                        </a:cubicBezTo>
                        <a:cubicBezTo>
                          <a:pt x="170905" y="318815"/>
                          <a:pt x="180975" y="320675"/>
                          <a:pt x="190500" y="323850"/>
                        </a:cubicBezTo>
                        <a:cubicBezTo>
                          <a:pt x="196850" y="333375"/>
                          <a:pt x="200611" y="345274"/>
                          <a:pt x="209550" y="352425"/>
                        </a:cubicBezTo>
                        <a:cubicBezTo>
                          <a:pt x="217390" y="358697"/>
                          <a:pt x="232556" y="353596"/>
                          <a:pt x="238125" y="361950"/>
                        </a:cubicBezTo>
                        <a:cubicBezTo>
                          <a:pt x="247105" y="375420"/>
                          <a:pt x="244475" y="393700"/>
                          <a:pt x="247650" y="409575"/>
                        </a:cubicBezTo>
                        <a:cubicBezTo>
                          <a:pt x="260350" y="406400"/>
                          <a:pt x="272659" y="400050"/>
                          <a:pt x="285750" y="400050"/>
                        </a:cubicBezTo>
                        <a:cubicBezTo>
                          <a:pt x="311185" y="400050"/>
                          <a:pt x="328583" y="420970"/>
                          <a:pt x="342900" y="438150"/>
                        </a:cubicBezTo>
                        <a:cubicBezTo>
                          <a:pt x="350229" y="446944"/>
                          <a:pt x="352242" y="460658"/>
                          <a:pt x="361950" y="466725"/>
                        </a:cubicBezTo>
                        <a:cubicBezTo>
                          <a:pt x="398458" y="489543"/>
                          <a:pt x="467749" y="491180"/>
                          <a:pt x="504825" y="495300"/>
                        </a:cubicBezTo>
                        <a:cubicBezTo>
                          <a:pt x="523875" y="501650"/>
                          <a:pt x="545267" y="503211"/>
                          <a:pt x="561975" y="514350"/>
                        </a:cubicBezTo>
                        <a:cubicBezTo>
                          <a:pt x="571500" y="520700"/>
                          <a:pt x="580089" y="528751"/>
                          <a:pt x="590550" y="533400"/>
                        </a:cubicBezTo>
                        <a:cubicBezTo>
                          <a:pt x="608900" y="541555"/>
                          <a:pt x="647700" y="552450"/>
                          <a:pt x="647700" y="552450"/>
                        </a:cubicBezTo>
                        <a:cubicBezTo>
                          <a:pt x="633643" y="573535"/>
                          <a:pt x="622077" y="594932"/>
                          <a:pt x="600075" y="609600"/>
                        </a:cubicBezTo>
                        <a:cubicBezTo>
                          <a:pt x="591721" y="615169"/>
                          <a:pt x="581025" y="615950"/>
                          <a:pt x="571500" y="619125"/>
                        </a:cubicBezTo>
                        <a:cubicBezTo>
                          <a:pt x="558800" y="628650"/>
                          <a:pt x="547183" y="639824"/>
                          <a:pt x="533400" y="647700"/>
                        </a:cubicBezTo>
                        <a:cubicBezTo>
                          <a:pt x="524683" y="652681"/>
                          <a:pt x="513179" y="651656"/>
                          <a:pt x="504825" y="657225"/>
                        </a:cubicBezTo>
                        <a:cubicBezTo>
                          <a:pt x="458012" y="688433"/>
                          <a:pt x="492342" y="679233"/>
                          <a:pt x="457200" y="714375"/>
                        </a:cubicBezTo>
                        <a:cubicBezTo>
                          <a:pt x="449105" y="722470"/>
                          <a:pt x="438150" y="727075"/>
                          <a:pt x="428625" y="733425"/>
                        </a:cubicBezTo>
                        <a:cubicBezTo>
                          <a:pt x="422275" y="742950"/>
                          <a:pt x="410526" y="750592"/>
                          <a:pt x="409575" y="762000"/>
                        </a:cubicBezTo>
                        <a:cubicBezTo>
                          <a:pt x="406193" y="802578"/>
                          <a:pt x="421736" y="854015"/>
                          <a:pt x="428625" y="895350"/>
                        </a:cubicBezTo>
                        <a:cubicBezTo>
                          <a:pt x="443218" y="982909"/>
                          <a:pt x="429419" y="935832"/>
                          <a:pt x="447675" y="990600"/>
                        </a:cubicBezTo>
                        <a:cubicBezTo>
                          <a:pt x="455879" y="1064435"/>
                          <a:pt x="434307" y="1069641"/>
                          <a:pt x="485775" y="1095375"/>
                        </a:cubicBezTo>
                        <a:cubicBezTo>
                          <a:pt x="494755" y="1099865"/>
                          <a:pt x="504825" y="1101725"/>
                          <a:pt x="514350" y="1104900"/>
                        </a:cubicBezTo>
                        <a:cubicBezTo>
                          <a:pt x="520897" y="1137636"/>
                          <a:pt x="524432" y="1159238"/>
                          <a:pt x="533400" y="1190625"/>
                        </a:cubicBezTo>
                        <a:cubicBezTo>
                          <a:pt x="536158" y="1200279"/>
                          <a:pt x="540167" y="1209546"/>
                          <a:pt x="542925" y="1219200"/>
                        </a:cubicBezTo>
                        <a:cubicBezTo>
                          <a:pt x="546521" y="1231787"/>
                          <a:pt x="548688" y="1244761"/>
                          <a:pt x="552450" y="1257300"/>
                        </a:cubicBezTo>
                        <a:cubicBezTo>
                          <a:pt x="558220" y="1276534"/>
                          <a:pt x="557301" y="1300251"/>
                          <a:pt x="571500" y="1314450"/>
                        </a:cubicBezTo>
                        <a:lnTo>
                          <a:pt x="628650" y="1371600"/>
                        </a:lnTo>
                        <a:cubicBezTo>
                          <a:pt x="632135" y="1382056"/>
                          <a:pt x="643620" y="1424863"/>
                          <a:pt x="657225" y="1428750"/>
                        </a:cubicBezTo>
                        <a:cubicBezTo>
                          <a:pt x="672791" y="1433198"/>
                          <a:pt x="688975" y="1422400"/>
                          <a:pt x="704850" y="1419225"/>
                        </a:cubicBezTo>
                        <a:cubicBezTo>
                          <a:pt x="708136" y="1389654"/>
                          <a:pt x="701415" y="1330533"/>
                          <a:pt x="733425" y="1304925"/>
                        </a:cubicBezTo>
                        <a:cubicBezTo>
                          <a:pt x="741265" y="1298653"/>
                          <a:pt x="752475" y="1298575"/>
                          <a:pt x="762000" y="1295400"/>
                        </a:cubicBezTo>
                        <a:cubicBezTo>
                          <a:pt x="768350" y="1285875"/>
                          <a:pt x="776401" y="1277286"/>
                          <a:pt x="781050" y="1266825"/>
                        </a:cubicBezTo>
                        <a:cubicBezTo>
                          <a:pt x="789205" y="1248475"/>
                          <a:pt x="793750" y="1228725"/>
                          <a:pt x="800100" y="1209675"/>
                        </a:cubicBezTo>
                        <a:cubicBezTo>
                          <a:pt x="818717" y="1153825"/>
                          <a:pt x="799646" y="1182209"/>
                          <a:pt x="895350" y="1171575"/>
                        </a:cubicBezTo>
                        <a:cubicBezTo>
                          <a:pt x="898525" y="1149350"/>
                          <a:pt x="892822" y="1123841"/>
                          <a:pt x="904875" y="1104900"/>
                        </a:cubicBezTo>
                        <a:cubicBezTo>
                          <a:pt x="917167" y="1085584"/>
                          <a:pt x="962025" y="1066800"/>
                          <a:pt x="962025" y="1066800"/>
                        </a:cubicBezTo>
                        <a:cubicBezTo>
                          <a:pt x="1012825" y="990600"/>
                          <a:pt x="962025" y="1085850"/>
                          <a:pt x="962025" y="1009650"/>
                        </a:cubicBezTo>
                        <a:cubicBezTo>
                          <a:pt x="962025" y="917371"/>
                          <a:pt x="961663" y="927341"/>
                          <a:pt x="1009650" y="895350"/>
                        </a:cubicBezTo>
                        <a:cubicBezTo>
                          <a:pt x="1016000" y="885825"/>
                          <a:pt x="1028700" y="878223"/>
                          <a:pt x="1028700" y="866775"/>
                        </a:cubicBezTo>
                        <a:cubicBezTo>
                          <a:pt x="1028700" y="846695"/>
                          <a:pt x="1016000" y="828675"/>
                          <a:pt x="1009650" y="809625"/>
                        </a:cubicBezTo>
                        <a:cubicBezTo>
                          <a:pt x="999664" y="779667"/>
                          <a:pt x="1002128" y="772860"/>
                          <a:pt x="971550" y="752475"/>
                        </a:cubicBezTo>
                        <a:cubicBezTo>
                          <a:pt x="963196" y="746906"/>
                          <a:pt x="952500" y="746125"/>
                          <a:pt x="942975" y="742950"/>
                        </a:cubicBezTo>
                        <a:cubicBezTo>
                          <a:pt x="939800" y="727075"/>
                          <a:pt x="941482" y="709381"/>
                          <a:pt x="933450" y="695325"/>
                        </a:cubicBezTo>
                        <a:cubicBezTo>
                          <a:pt x="922487" y="676140"/>
                          <a:pt x="883385" y="670903"/>
                          <a:pt x="866775" y="666750"/>
                        </a:cubicBezTo>
                        <a:cubicBezTo>
                          <a:pt x="863600" y="657225"/>
                          <a:pt x="864350" y="645275"/>
                          <a:pt x="857250" y="638175"/>
                        </a:cubicBezTo>
                        <a:cubicBezTo>
                          <a:pt x="845480" y="626405"/>
                          <a:pt x="807652" y="615292"/>
                          <a:pt x="790575" y="609600"/>
                        </a:cubicBezTo>
                        <a:cubicBezTo>
                          <a:pt x="781029" y="580961"/>
                          <a:pt x="782516" y="577069"/>
                          <a:pt x="762000" y="552450"/>
                        </a:cubicBezTo>
                        <a:cubicBezTo>
                          <a:pt x="740637" y="526815"/>
                          <a:pt x="727889" y="525706"/>
                          <a:pt x="714375" y="495300"/>
                        </a:cubicBezTo>
                        <a:cubicBezTo>
                          <a:pt x="706220" y="476950"/>
                          <a:pt x="695325" y="438150"/>
                          <a:pt x="695325" y="438150"/>
                        </a:cubicBezTo>
                        <a:cubicBezTo>
                          <a:pt x="698500" y="425450"/>
                          <a:pt x="697588" y="410942"/>
                          <a:pt x="704850" y="400050"/>
                        </a:cubicBezTo>
                        <a:cubicBezTo>
                          <a:pt x="735687" y="353794"/>
                          <a:pt x="857540" y="389865"/>
                          <a:pt x="866775" y="390525"/>
                        </a:cubicBezTo>
                        <a:cubicBezTo>
                          <a:pt x="869950" y="400050"/>
                          <a:pt x="869200" y="412000"/>
                          <a:pt x="876300" y="419100"/>
                        </a:cubicBezTo>
                        <a:cubicBezTo>
                          <a:pt x="883400" y="426200"/>
                          <a:pt x="894971" y="426974"/>
                          <a:pt x="904875" y="428625"/>
                        </a:cubicBezTo>
                        <a:cubicBezTo>
                          <a:pt x="933235" y="433352"/>
                          <a:pt x="962025" y="434975"/>
                          <a:pt x="990600" y="438150"/>
                        </a:cubicBezTo>
                        <a:cubicBezTo>
                          <a:pt x="1000125" y="444500"/>
                          <a:pt x="1008456" y="453180"/>
                          <a:pt x="1019175" y="457200"/>
                        </a:cubicBezTo>
                        <a:cubicBezTo>
                          <a:pt x="1079220" y="479717"/>
                          <a:pt x="1186227" y="459700"/>
                          <a:pt x="1228725" y="457200"/>
                        </a:cubicBezTo>
                        <a:cubicBezTo>
                          <a:pt x="1151245" y="379720"/>
                          <a:pt x="1198351" y="403025"/>
                          <a:pt x="1085850" y="390525"/>
                        </a:cubicBezTo>
                        <a:cubicBezTo>
                          <a:pt x="1079500" y="381000"/>
                          <a:pt x="1068064" y="373328"/>
                          <a:pt x="1066800" y="361950"/>
                        </a:cubicBezTo>
                        <a:cubicBezTo>
                          <a:pt x="1064667" y="342755"/>
                          <a:pt x="1073930" y="323964"/>
                          <a:pt x="1076325" y="304800"/>
                        </a:cubicBezTo>
                        <a:cubicBezTo>
                          <a:pt x="1077113" y="298499"/>
                          <a:pt x="1049337" y="296862"/>
                          <a:pt x="1047750" y="285750"/>
                        </a:cubicBezTo>
                        <a:close/>
                      </a:path>
                    </a:pathLst>
                  </a:custGeom>
                  <a:solidFill>
                    <a:schemeClr val="accent3">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ysClr val="windowText" lastClr="000000"/>
                      </a:solidFill>
                    </a:endParaRPr>
                  </a:p>
                  <a:p>
                    <a:pPr algn="l"/>
                    <a:r>
                      <a:rPr lang="es-ES" sz="1100" b="1">
                        <a:solidFill>
                          <a:sysClr val="windowText" lastClr="000000"/>
                        </a:solidFill>
                      </a:rPr>
                      <a:t>    Hato</a:t>
                    </a:r>
                    <a:r>
                      <a:rPr lang="es-ES" sz="1100" b="1" baseline="0">
                        <a:solidFill>
                          <a:sysClr val="windowText" lastClr="000000"/>
                        </a:solidFill>
                      </a:rPr>
                      <a:t> Mayor</a:t>
                    </a:r>
                  </a:p>
                  <a:p>
                    <a:pPr algn="l"/>
                    <a:r>
                      <a:rPr lang="es-ES" sz="1100" b="1" baseline="0">
                        <a:solidFill>
                          <a:sysClr val="windowText" lastClr="000000"/>
                        </a:solidFill>
                      </a:rPr>
                      <a:t>              14,306</a:t>
                    </a:r>
                  </a:p>
                  <a:p>
                    <a:pPr algn="l"/>
                    <a:endParaRPr lang="es-ES" sz="1100" b="1" baseline="0">
                      <a:solidFill>
                        <a:sysClr val="windowText" lastClr="000000"/>
                      </a:solidFill>
                    </a:endParaRPr>
                  </a:p>
                  <a:p>
                    <a:pPr algn="l"/>
                    <a:r>
                      <a:rPr lang="es-ES" sz="1100" b="1" baseline="0">
                        <a:solidFill>
                          <a:sysClr val="windowText" lastClr="000000"/>
                        </a:solidFill>
                      </a:rPr>
                      <a:t>                       0.5%</a:t>
                    </a:r>
                    <a:endParaRPr lang="es-ES" sz="1100" b="1">
                      <a:solidFill>
                        <a:sysClr val="windowText" lastClr="000000"/>
                      </a:solidFill>
                    </a:endParaRPr>
                  </a:p>
                </xdr:txBody>
              </xdr:sp>
              <xdr:sp macro="" textlink="">
                <xdr:nvSpPr>
                  <xdr:cNvPr id="18" name="Forma libre 17"/>
                  <xdr:cNvSpPr/>
                </xdr:nvSpPr>
                <xdr:spPr>
                  <a:xfrm>
                    <a:off x="5647583" y="2826955"/>
                    <a:ext cx="1260068" cy="1027408"/>
                  </a:xfrm>
                  <a:custGeom>
                    <a:avLst/>
                    <a:gdLst>
                      <a:gd name="connsiteX0" fmla="*/ 238867 w 1260068"/>
                      <a:gd name="connsiteY0" fmla="*/ 1021145 h 1027408"/>
                      <a:gd name="connsiteX1" fmla="*/ 229342 w 1260068"/>
                      <a:gd name="connsiteY1" fmla="*/ 973520 h 1027408"/>
                      <a:gd name="connsiteX2" fmla="*/ 219817 w 1260068"/>
                      <a:gd name="connsiteY2" fmla="*/ 878270 h 1027408"/>
                      <a:gd name="connsiteX3" fmla="*/ 248392 w 1260068"/>
                      <a:gd name="connsiteY3" fmla="*/ 859220 h 1027408"/>
                      <a:gd name="connsiteX4" fmla="*/ 238867 w 1260068"/>
                      <a:gd name="connsiteY4" fmla="*/ 811595 h 1027408"/>
                      <a:gd name="connsiteX5" fmla="*/ 172192 w 1260068"/>
                      <a:gd name="connsiteY5" fmla="*/ 792545 h 1027408"/>
                      <a:gd name="connsiteX6" fmla="*/ 143617 w 1260068"/>
                      <a:gd name="connsiteY6" fmla="*/ 783020 h 1027408"/>
                      <a:gd name="connsiteX7" fmla="*/ 105517 w 1260068"/>
                      <a:gd name="connsiteY7" fmla="*/ 773495 h 1027408"/>
                      <a:gd name="connsiteX8" fmla="*/ 48367 w 1260068"/>
                      <a:gd name="connsiteY8" fmla="*/ 754445 h 1027408"/>
                      <a:gd name="connsiteX9" fmla="*/ 19792 w 1260068"/>
                      <a:gd name="connsiteY9" fmla="*/ 744920 h 1027408"/>
                      <a:gd name="connsiteX10" fmla="*/ 742 w 1260068"/>
                      <a:gd name="connsiteY10" fmla="*/ 716345 h 1027408"/>
                      <a:gd name="connsiteX11" fmla="*/ 10267 w 1260068"/>
                      <a:gd name="connsiteY11" fmla="*/ 640145 h 1027408"/>
                      <a:gd name="connsiteX12" fmla="*/ 38842 w 1260068"/>
                      <a:gd name="connsiteY12" fmla="*/ 611570 h 1027408"/>
                      <a:gd name="connsiteX13" fmla="*/ 57892 w 1260068"/>
                      <a:gd name="connsiteY13" fmla="*/ 582995 h 1027408"/>
                      <a:gd name="connsiteX14" fmla="*/ 67417 w 1260068"/>
                      <a:gd name="connsiteY14" fmla="*/ 554420 h 1027408"/>
                      <a:gd name="connsiteX15" fmla="*/ 95992 w 1260068"/>
                      <a:gd name="connsiteY15" fmla="*/ 497270 h 1027408"/>
                      <a:gd name="connsiteX16" fmla="*/ 105517 w 1260068"/>
                      <a:gd name="connsiteY16" fmla="*/ 421070 h 1027408"/>
                      <a:gd name="connsiteX17" fmla="*/ 115042 w 1260068"/>
                      <a:gd name="connsiteY17" fmla="*/ 306770 h 1027408"/>
                      <a:gd name="connsiteX18" fmla="*/ 134092 w 1260068"/>
                      <a:gd name="connsiteY18" fmla="*/ 278195 h 1027408"/>
                      <a:gd name="connsiteX19" fmla="*/ 162667 w 1260068"/>
                      <a:gd name="connsiteY19" fmla="*/ 240095 h 1027408"/>
                      <a:gd name="connsiteX20" fmla="*/ 181717 w 1260068"/>
                      <a:gd name="connsiteY20" fmla="*/ 182945 h 1027408"/>
                      <a:gd name="connsiteX21" fmla="*/ 191242 w 1260068"/>
                      <a:gd name="connsiteY21" fmla="*/ 154370 h 1027408"/>
                      <a:gd name="connsiteX22" fmla="*/ 210292 w 1260068"/>
                      <a:gd name="connsiteY22" fmla="*/ 125795 h 1027408"/>
                      <a:gd name="connsiteX23" fmla="*/ 219817 w 1260068"/>
                      <a:gd name="connsiteY23" fmla="*/ 87695 h 1027408"/>
                      <a:gd name="connsiteX24" fmla="*/ 276967 w 1260068"/>
                      <a:gd name="connsiteY24" fmla="*/ 59120 h 1027408"/>
                      <a:gd name="connsiteX25" fmla="*/ 334117 w 1260068"/>
                      <a:gd name="connsiteY25" fmla="*/ 21020 h 1027408"/>
                      <a:gd name="connsiteX26" fmla="*/ 381742 w 1260068"/>
                      <a:gd name="connsiteY26" fmla="*/ 11495 h 1027408"/>
                      <a:gd name="connsiteX27" fmla="*/ 410317 w 1260068"/>
                      <a:gd name="connsiteY27" fmla="*/ 1970 h 1027408"/>
                      <a:gd name="connsiteX28" fmla="*/ 353167 w 1260068"/>
                      <a:gd name="connsiteY28" fmla="*/ 40070 h 1027408"/>
                      <a:gd name="connsiteX29" fmla="*/ 343642 w 1260068"/>
                      <a:gd name="connsiteY29" fmla="*/ 68645 h 1027408"/>
                      <a:gd name="connsiteX30" fmla="*/ 362692 w 1260068"/>
                      <a:gd name="connsiteY30" fmla="*/ 97220 h 1027408"/>
                      <a:gd name="connsiteX31" fmla="*/ 391267 w 1260068"/>
                      <a:gd name="connsiteY31" fmla="*/ 163895 h 1027408"/>
                      <a:gd name="connsiteX32" fmla="*/ 429367 w 1260068"/>
                      <a:gd name="connsiteY32" fmla="*/ 344870 h 1027408"/>
                      <a:gd name="connsiteX33" fmla="*/ 467467 w 1260068"/>
                      <a:gd name="connsiteY33" fmla="*/ 354395 h 1027408"/>
                      <a:gd name="connsiteX34" fmla="*/ 476992 w 1260068"/>
                      <a:gd name="connsiteY34" fmla="*/ 430595 h 1027408"/>
                      <a:gd name="connsiteX35" fmla="*/ 505567 w 1260068"/>
                      <a:gd name="connsiteY35" fmla="*/ 459170 h 1027408"/>
                      <a:gd name="connsiteX36" fmla="*/ 515092 w 1260068"/>
                      <a:gd name="connsiteY36" fmla="*/ 506795 h 1027408"/>
                      <a:gd name="connsiteX37" fmla="*/ 543667 w 1260068"/>
                      <a:gd name="connsiteY37" fmla="*/ 592520 h 1027408"/>
                      <a:gd name="connsiteX38" fmla="*/ 553192 w 1260068"/>
                      <a:gd name="connsiteY38" fmla="*/ 621095 h 1027408"/>
                      <a:gd name="connsiteX39" fmla="*/ 638917 w 1260068"/>
                      <a:gd name="connsiteY39" fmla="*/ 697295 h 1027408"/>
                      <a:gd name="connsiteX40" fmla="*/ 686542 w 1260068"/>
                      <a:gd name="connsiteY40" fmla="*/ 640145 h 1027408"/>
                      <a:gd name="connsiteX41" fmla="*/ 705592 w 1260068"/>
                      <a:gd name="connsiteY41" fmla="*/ 582995 h 1027408"/>
                      <a:gd name="connsiteX42" fmla="*/ 743692 w 1260068"/>
                      <a:gd name="connsiteY42" fmla="*/ 525845 h 1027408"/>
                      <a:gd name="connsiteX43" fmla="*/ 762742 w 1260068"/>
                      <a:gd name="connsiteY43" fmla="*/ 497270 h 1027408"/>
                      <a:gd name="connsiteX44" fmla="*/ 819892 w 1260068"/>
                      <a:gd name="connsiteY44" fmla="*/ 478220 h 1027408"/>
                      <a:gd name="connsiteX45" fmla="*/ 848467 w 1260068"/>
                      <a:gd name="connsiteY45" fmla="*/ 468695 h 1027408"/>
                      <a:gd name="connsiteX46" fmla="*/ 857992 w 1260068"/>
                      <a:gd name="connsiteY46" fmla="*/ 421070 h 1027408"/>
                      <a:gd name="connsiteX47" fmla="*/ 877042 w 1260068"/>
                      <a:gd name="connsiteY47" fmla="*/ 392495 h 1027408"/>
                      <a:gd name="connsiteX48" fmla="*/ 896092 w 1260068"/>
                      <a:gd name="connsiteY48" fmla="*/ 430595 h 1027408"/>
                      <a:gd name="connsiteX49" fmla="*/ 924667 w 1260068"/>
                      <a:gd name="connsiteY49" fmla="*/ 440120 h 1027408"/>
                      <a:gd name="connsiteX50" fmla="*/ 962767 w 1260068"/>
                      <a:gd name="connsiteY50" fmla="*/ 430595 h 1027408"/>
                      <a:gd name="connsiteX51" fmla="*/ 972292 w 1260068"/>
                      <a:gd name="connsiteY51" fmla="*/ 468695 h 1027408"/>
                      <a:gd name="connsiteX52" fmla="*/ 1000867 w 1260068"/>
                      <a:gd name="connsiteY52" fmla="*/ 497270 h 1027408"/>
                      <a:gd name="connsiteX53" fmla="*/ 1019917 w 1260068"/>
                      <a:gd name="connsiteY53" fmla="*/ 525845 h 1027408"/>
                      <a:gd name="connsiteX54" fmla="*/ 1115167 w 1260068"/>
                      <a:gd name="connsiteY54" fmla="*/ 535370 h 1027408"/>
                      <a:gd name="connsiteX55" fmla="*/ 1153267 w 1260068"/>
                      <a:gd name="connsiteY55" fmla="*/ 554420 h 1027408"/>
                      <a:gd name="connsiteX56" fmla="*/ 1229467 w 1260068"/>
                      <a:gd name="connsiteY56" fmla="*/ 582995 h 1027408"/>
                      <a:gd name="connsiteX57" fmla="*/ 1210417 w 1260068"/>
                      <a:gd name="connsiteY57" fmla="*/ 611570 h 1027408"/>
                      <a:gd name="connsiteX58" fmla="*/ 1229467 w 1260068"/>
                      <a:gd name="connsiteY58" fmla="*/ 668720 h 1027408"/>
                      <a:gd name="connsiteX59" fmla="*/ 1219942 w 1260068"/>
                      <a:gd name="connsiteY59" fmla="*/ 735395 h 1027408"/>
                      <a:gd name="connsiteX60" fmla="*/ 1210417 w 1260068"/>
                      <a:gd name="connsiteY60" fmla="*/ 773495 h 1027408"/>
                      <a:gd name="connsiteX61" fmla="*/ 1181842 w 1260068"/>
                      <a:gd name="connsiteY61" fmla="*/ 783020 h 1027408"/>
                      <a:gd name="connsiteX62" fmla="*/ 1181842 w 1260068"/>
                      <a:gd name="connsiteY62" fmla="*/ 868745 h 1027408"/>
                      <a:gd name="connsiteX63" fmla="*/ 1210417 w 1260068"/>
                      <a:gd name="connsiteY63" fmla="*/ 887795 h 1027408"/>
                      <a:gd name="connsiteX64" fmla="*/ 1219942 w 1260068"/>
                      <a:gd name="connsiteY64" fmla="*/ 916370 h 1027408"/>
                      <a:gd name="connsiteX65" fmla="*/ 1210417 w 1260068"/>
                      <a:gd name="connsiteY65" fmla="*/ 1021145 h 1027408"/>
                      <a:gd name="connsiteX66" fmla="*/ 1143742 w 1260068"/>
                      <a:gd name="connsiteY66" fmla="*/ 1011620 h 1027408"/>
                      <a:gd name="connsiteX67" fmla="*/ 1038967 w 1260068"/>
                      <a:gd name="connsiteY67" fmla="*/ 1002095 h 1027408"/>
                      <a:gd name="connsiteX68" fmla="*/ 972292 w 1260068"/>
                      <a:gd name="connsiteY68" fmla="*/ 954470 h 1027408"/>
                      <a:gd name="connsiteX69" fmla="*/ 953242 w 1260068"/>
                      <a:gd name="connsiteY69" fmla="*/ 916370 h 1027408"/>
                      <a:gd name="connsiteX70" fmla="*/ 886567 w 1260068"/>
                      <a:gd name="connsiteY70" fmla="*/ 925895 h 1027408"/>
                      <a:gd name="connsiteX71" fmla="*/ 810367 w 1260068"/>
                      <a:gd name="connsiteY71" fmla="*/ 935420 h 1027408"/>
                      <a:gd name="connsiteX72" fmla="*/ 753217 w 1260068"/>
                      <a:gd name="connsiteY72" fmla="*/ 954470 h 1027408"/>
                      <a:gd name="connsiteX73" fmla="*/ 686542 w 1260068"/>
                      <a:gd name="connsiteY73" fmla="*/ 944945 h 1027408"/>
                      <a:gd name="connsiteX74" fmla="*/ 657967 w 1260068"/>
                      <a:gd name="connsiteY74" fmla="*/ 963995 h 1027408"/>
                      <a:gd name="connsiteX75" fmla="*/ 562717 w 1260068"/>
                      <a:gd name="connsiteY75" fmla="*/ 954470 h 1027408"/>
                      <a:gd name="connsiteX76" fmla="*/ 438892 w 1260068"/>
                      <a:gd name="connsiteY76" fmla="*/ 963995 h 1027408"/>
                      <a:gd name="connsiteX77" fmla="*/ 372217 w 1260068"/>
                      <a:gd name="connsiteY77" fmla="*/ 973520 h 1027408"/>
                      <a:gd name="connsiteX78" fmla="*/ 200767 w 1260068"/>
                      <a:gd name="connsiteY78" fmla="*/ 992570 h 1027408"/>
                      <a:gd name="connsiteX79" fmla="*/ 238867 w 1260068"/>
                      <a:gd name="connsiteY79" fmla="*/ 963995 h 10274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Lst>
                    <a:rect l="l" t="t" r="r" b="b"/>
                    <a:pathLst>
                      <a:path w="1260068" h="1027408">
                        <a:moveTo>
                          <a:pt x="238867" y="1021145"/>
                        </a:moveTo>
                        <a:cubicBezTo>
                          <a:pt x="235692" y="1005270"/>
                          <a:pt x="234462" y="988879"/>
                          <a:pt x="229342" y="973520"/>
                        </a:cubicBezTo>
                        <a:cubicBezTo>
                          <a:pt x="214168" y="927997"/>
                          <a:pt x="190939" y="936027"/>
                          <a:pt x="219817" y="878270"/>
                        </a:cubicBezTo>
                        <a:cubicBezTo>
                          <a:pt x="224937" y="868031"/>
                          <a:pt x="238867" y="865570"/>
                          <a:pt x="248392" y="859220"/>
                        </a:cubicBezTo>
                        <a:cubicBezTo>
                          <a:pt x="245217" y="843345"/>
                          <a:pt x="251051" y="822256"/>
                          <a:pt x="238867" y="811595"/>
                        </a:cubicBezTo>
                        <a:cubicBezTo>
                          <a:pt x="221472" y="796374"/>
                          <a:pt x="194332" y="799187"/>
                          <a:pt x="172192" y="792545"/>
                        </a:cubicBezTo>
                        <a:cubicBezTo>
                          <a:pt x="162575" y="789660"/>
                          <a:pt x="153271" y="785778"/>
                          <a:pt x="143617" y="783020"/>
                        </a:cubicBezTo>
                        <a:cubicBezTo>
                          <a:pt x="131030" y="779424"/>
                          <a:pt x="118056" y="777257"/>
                          <a:pt x="105517" y="773495"/>
                        </a:cubicBezTo>
                        <a:cubicBezTo>
                          <a:pt x="86283" y="767725"/>
                          <a:pt x="67417" y="760795"/>
                          <a:pt x="48367" y="754445"/>
                        </a:cubicBezTo>
                        <a:lnTo>
                          <a:pt x="19792" y="744920"/>
                        </a:lnTo>
                        <a:cubicBezTo>
                          <a:pt x="13442" y="735395"/>
                          <a:pt x="1778" y="727746"/>
                          <a:pt x="742" y="716345"/>
                        </a:cubicBezTo>
                        <a:cubicBezTo>
                          <a:pt x="-1576" y="690852"/>
                          <a:pt x="1519" y="664202"/>
                          <a:pt x="10267" y="640145"/>
                        </a:cubicBezTo>
                        <a:cubicBezTo>
                          <a:pt x="14870" y="627486"/>
                          <a:pt x="30218" y="621918"/>
                          <a:pt x="38842" y="611570"/>
                        </a:cubicBezTo>
                        <a:cubicBezTo>
                          <a:pt x="46171" y="602776"/>
                          <a:pt x="52772" y="593234"/>
                          <a:pt x="57892" y="582995"/>
                        </a:cubicBezTo>
                        <a:cubicBezTo>
                          <a:pt x="62382" y="574015"/>
                          <a:pt x="62927" y="563400"/>
                          <a:pt x="67417" y="554420"/>
                        </a:cubicBezTo>
                        <a:cubicBezTo>
                          <a:pt x="104346" y="480562"/>
                          <a:pt x="72051" y="569094"/>
                          <a:pt x="95992" y="497270"/>
                        </a:cubicBezTo>
                        <a:cubicBezTo>
                          <a:pt x="73322" y="429260"/>
                          <a:pt x="60234" y="451259"/>
                          <a:pt x="105517" y="421070"/>
                        </a:cubicBezTo>
                        <a:cubicBezTo>
                          <a:pt x="108692" y="382970"/>
                          <a:pt x="107544" y="344260"/>
                          <a:pt x="115042" y="306770"/>
                        </a:cubicBezTo>
                        <a:cubicBezTo>
                          <a:pt x="117287" y="295545"/>
                          <a:pt x="127438" y="287510"/>
                          <a:pt x="134092" y="278195"/>
                        </a:cubicBezTo>
                        <a:cubicBezTo>
                          <a:pt x="143319" y="265277"/>
                          <a:pt x="153142" y="252795"/>
                          <a:pt x="162667" y="240095"/>
                        </a:cubicBezTo>
                        <a:lnTo>
                          <a:pt x="181717" y="182945"/>
                        </a:lnTo>
                        <a:cubicBezTo>
                          <a:pt x="184892" y="173420"/>
                          <a:pt x="185673" y="162724"/>
                          <a:pt x="191242" y="154370"/>
                        </a:cubicBezTo>
                        <a:lnTo>
                          <a:pt x="210292" y="125795"/>
                        </a:lnTo>
                        <a:cubicBezTo>
                          <a:pt x="213467" y="113095"/>
                          <a:pt x="212555" y="98587"/>
                          <a:pt x="219817" y="87695"/>
                        </a:cubicBezTo>
                        <a:cubicBezTo>
                          <a:pt x="234741" y="65309"/>
                          <a:pt x="256831" y="70306"/>
                          <a:pt x="276967" y="59120"/>
                        </a:cubicBezTo>
                        <a:cubicBezTo>
                          <a:pt x="296981" y="48001"/>
                          <a:pt x="311666" y="25510"/>
                          <a:pt x="334117" y="21020"/>
                        </a:cubicBezTo>
                        <a:cubicBezTo>
                          <a:pt x="349992" y="17845"/>
                          <a:pt x="366036" y="15422"/>
                          <a:pt x="381742" y="11495"/>
                        </a:cubicBezTo>
                        <a:cubicBezTo>
                          <a:pt x="391482" y="9060"/>
                          <a:pt x="417417" y="-5130"/>
                          <a:pt x="410317" y="1970"/>
                        </a:cubicBezTo>
                        <a:cubicBezTo>
                          <a:pt x="394128" y="18159"/>
                          <a:pt x="353167" y="40070"/>
                          <a:pt x="353167" y="40070"/>
                        </a:cubicBezTo>
                        <a:cubicBezTo>
                          <a:pt x="349992" y="49595"/>
                          <a:pt x="341991" y="58741"/>
                          <a:pt x="343642" y="68645"/>
                        </a:cubicBezTo>
                        <a:cubicBezTo>
                          <a:pt x="345524" y="79937"/>
                          <a:pt x="358183" y="86698"/>
                          <a:pt x="362692" y="97220"/>
                        </a:cubicBezTo>
                        <a:cubicBezTo>
                          <a:pt x="399596" y="183330"/>
                          <a:pt x="343441" y="92156"/>
                          <a:pt x="391267" y="163895"/>
                        </a:cubicBezTo>
                        <a:cubicBezTo>
                          <a:pt x="396472" y="252384"/>
                          <a:pt x="356861" y="313796"/>
                          <a:pt x="429367" y="344870"/>
                        </a:cubicBezTo>
                        <a:cubicBezTo>
                          <a:pt x="441399" y="350027"/>
                          <a:pt x="454767" y="351220"/>
                          <a:pt x="467467" y="354395"/>
                        </a:cubicBezTo>
                        <a:cubicBezTo>
                          <a:pt x="470642" y="379795"/>
                          <a:pt x="468244" y="406538"/>
                          <a:pt x="476992" y="430595"/>
                        </a:cubicBezTo>
                        <a:cubicBezTo>
                          <a:pt x="481595" y="443254"/>
                          <a:pt x="499543" y="447122"/>
                          <a:pt x="505567" y="459170"/>
                        </a:cubicBezTo>
                        <a:cubicBezTo>
                          <a:pt x="512807" y="473650"/>
                          <a:pt x="510832" y="491176"/>
                          <a:pt x="515092" y="506795"/>
                        </a:cubicBezTo>
                        <a:lnTo>
                          <a:pt x="543667" y="592520"/>
                        </a:lnTo>
                        <a:cubicBezTo>
                          <a:pt x="546842" y="602045"/>
                          <a:pt x="546092" y="613995"/>
                          <a:pt x="553192" y="621095"/>
                        </a:cubicBezTo>
                        <a:cubicBezTo>
                          <a:pt x="618437" y="686340"/>
                          <a:pt x="587926" y="663301"/>
                          <a:pt x="638917" y="697295"/>
                        </a:cubicBezTo>
                        <a:cubicBezTo>
                          <a:pt x="656862" y="679350"/>
                          <a:pt x="675933" y="664015"/>
                          <a:pt x="686542" y="640145"/>
                        </a:cubicBezTo>
                        <a:cubicBezTo>
                          <a:pt x="694697" y="621795"/>
                          <a:pt x="694453" y="599703"/>
                          <a:pt x="705592" y="582995"/>
                        </a:cubicBezTo>
                        <a:lnTo>
                          <a:pt x="743692" y="525845"/>
                        </a:lnTo>
                        <a:cubicBezTo>
                          <a:pt x="750042" y="516320"/>
                          <a:pt x="751882" y="500890"/>
                          <a:pt x="762742" y="497270"/>
                        </a:cubicBezTo>
                        <a:lnTo>
                          <a:pt x="819892" y="478220"/>
                        </a:lnTo>
                        <a:lnTo>
                          <a:pt x="848467" y="468695"/>
                        </a:lnTo>
                        <a:cubicBezTo>
                          <a:pt x="851642" y="452820"/>
                          <a:pt x="852308" y="436229"/>
                          <a:pt x="857992" y="421070"/>
                        </a:cubicBezTo>
                        <a:cubicBezTo>
                          <a:pt x="862012" y="410351"/>
                          <a:pt x="865936" y="389719"/>
                          <a:pt x="877042" y="392495"/>
                        </a:cubicBezTo>
                        <a:cubicBezTo>
                          <a:pt x="890817" y="395939"/>
                          <a:pt x="886052" y="420555"/>
                          <a:pt x="896092" y="430595"/>
                        </a:cubicBezTo>
                        <a:cubicBezTo>
                          <a:pt x="903192" y="437695"/>
                          <a:pt x="915142" y="436945"/>
                          <a:pt x="924667" y="440120"/>
                        </a:cubicBezTo>
                        <a:cubicBezTo>
                          <a:pt x="937367" y="436945"/>
                          <a:pt x="951542" y="423860"/>
                          <a:pt x="962767" y="430595"/>
                        </a:cubicBezTo>
                        <a:cubicBezTo>
                          <a:pt x="973992" y="437330"/>
                          <a:pt x="965797" y="457329"/>
                          <a:pt x="972292" y="468695"/>
                        </a:cubicBezTo>
                        <a:cubicBezTo>
                          <a:pt x="978975" y="480391"/>
                          <a:pt x="992243" y="486922"/>
                          <a:pt x="1000867" y="497270"/>
                        </a:cubicBezTo>
                        <a:cubicBezTo>
                          <a:pt x="1008196" y="506064"/>
                          <a:pt x="1009057" y="522225"/>
                          <a:pt x="1019917" y="525845"/>
                        </a:cubicBezTo>
                        <a:cubicBezTo>
                          <a:pt x="1050188" y="535935"/>
                          <a:pt x="1083417" y="532195"/>
                          <a:pt x="1115167" y="535370"/>
                        </a:cubicBezTo>
                        <a:cubicBezTo>
                          <a:pt x="1127867" y="541720"/>
                          <a:pt x="1139344" y="551635"/>
                          <a:pt x="1153267" y="554420"/>
                        </a:cubicBezTo>
                        <a:cubicBezTo>
                          <a:pt x="1254819" y="574730"/>
                          <a:pt x="1291995" y="541310"/>
                          <a:pt x="1229467" y="582995"/>
                        </a:cubicBezTo>
                        <a:cubicBezTo>
                          <a:pt x="1223117" y="592520"/>
                          <a:pt x="1210417" y="600122"/>
                          <a:pt x="1210417" y="611570"/>
                        </a:cubicBezTo>
                        <a:cubicBezTo>
                          <a:pt x="1210417" y="631650"/>
                          <a:pt x="1229467" y="668720"/>
                          <a:pt x="1229467" y="668720"/>
                        </a:cubicBezTo>
                        <a:cubicBezTo>
                          <a:pt x="1226292" y="690945"/>
                          <a:pt x="1223958" y="713306"/>
                          <a:pt x="1219942" y="735395"/>
                        </a:cubicBezTo>
                        <a:cubicBezTo>
                          <a:pt x="1217600" y="748275"/>
                          <a:pt x="1218595" y="763273"/>
                          <a:pt x="1210417" y="773495"/>
                        </a:cubicBezTo>
                        <a:cubicBezTo>
                          <a:pt x="1204145" y="781335"/>
                          <a:pt x="1191367" y="779845"/>
                          <a:pt x="1181842" y="783020"/>
                        </a:cubicBezTo>
                        <a:cubicBezTo>
                          <a:pt x="1165791" y="831172"/>
                          <a:pt x="1147880" y="834783"/>
                          <a:pt x="1181842" y="868745"/>
                        </a:cubicBezTo>
                        <a:cubicBezTo>
                          <a:pt x="1189937" y="876840"/>
                          <a:pt x="1200892" y="881445"/>
                          <a:pt x="1210417" y="887795"/>
                        </a:cubicBezTo>
                        <a:cubicBezTo>
                          <a:pt x="1213592" y="897320"/>
                          <a:pt x="1219942" y="906330"/>
                          <a:pt x="1219942" y="916370"/>
                        </a:cubicBezTo>
                        <a:cubicBezTo>
                          <a:pt x="1219942" y="951439"/>
                          <a:pt x="1232324" y="993761"/>
                          <a:pt x="1210417" y="1021145"/>
                        </a:cubicBezTo>
                        <a:cubicBezTo>
                          <a:pt x="1196392" y="1038676"/>
                          <a:pt x="1166055" y="1014099"/>
                          <a:pt x="1143742" y="1011620"/>
                        </a:cubicBezTo>
                        <a:cubicBezTo>
                          <a:pt x="1108887" y="1007747"/>
                          <a:pt x="1073892" y="1005270"/>
                          <a:pt x="1038967" y="1002095"/>
                        </a:cubicBezTo>
                        <a:cubicBezTo>
                          <a:pt x="961709" y="976342"/>
                          <a:pt x="993459" y="1003859"/>
                          <a:pt x="972292" y="954470"/>
                        </a:cubicBezTo>
                        <a:cubicBezTo>
                          <a:pt x="966699" y="941419"/>
                          <a:pt x="959592" y="929070"/>
                          <a:pt x="953242" y="916370"/>
                        </a:cubicBezTo>
                        <a:lnTo>
                          <a:pt x="886567" y="925895"/>
                        </a:lnTo>
                        <a:cubicBezTo>
                          <a:pt x="861194" y="929278"/>
                          <a:pt x="835396" y="930057"/>
                          <a:pt x="810367" y="935420"/>
                        </a:cubicBezTo>
                        <a:cubicBezTo>
                          <a:pt x="790732" y="939627"/>
                          <a:pt x="753217" y="954470"/>
                          <a:pt x="753217" y="954470"/>
                        </a:cubicBezTo>
                        <a:cubicBezTo>
                          <a:pt x="730992" y="951295"/>
                          <a:pt x="708881" y="942711"/>
                          <a:pt x="686542" y="944945"/>
                        </a:cubicBezTo>
                        <a:cubicBezTo>
                          <a:pt x="675151" y="946084"/>
                          <a:pt x="669381" y="963117"/>
                          <a:pt x="657967" y="963995"/>
                        </a:cubicBezTo>
                        <a:cubicBezTo>
                          <a:pt x="626153" y="966442"/>
                          <a:pt x="594467" y="957645"/>
                          <a:pt x="562717" y="954470"/>
                        </a:cubicBezTo>
                        <a:cubicBezTo>
                          <a:pt x="521442" y="957645"/>
                          <a:pt x="480083" y="959876"/>
                          <a:pt x="438892" y="963995"/>
                        </a:cubicBezTo>
                        <a:cubicBezTo>
                          <a:pt x="416553" y="966229"/>
                          <a:pt x="394508" y="970845"/>
                          <a:pt x="372217" y="973520"/>
                        </a:cubicBezTo>
                        <a:lnTo>
                          <a:pt x="200767" y="992570"/>
                        </a:lnTo>
                        <a:cubicBezTo>
                          <a:pt x="213304" y="954959"/>
                          <a:pt x="200252" y="963995"/>
                          <a:pt x="238867" y="963995"/>
                        </a:cubicBezTo>
                      </a:path>
                    </a:pathLst>
                  </a:custGeom>
                  <a:solidFill>
                    <a:schemeClr val="accent3">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050">
                      <a:solidFill>
                        <a:schemeClr val="bg1"/>
                      </a:solidFill>
                    </a:endParaRPr>
                  </a:p>
                  <a:p>
                    <a:pPr algn="l"/>
                    <a:endParaRPr lang="es-ES" sz="1050">
                      <a:solidFill>
                        <a:schemeClr val="bg1"/>
                      </a:solidFill>
                    </a:endParaRPr>
                  </a:p>
                  <a:p>
                    <a:pPr algn="l"/>
                    <a:endParaRPr lang="es-ES" sz="1050">
                      <a:solidFill>
                        <a:schemeClr val="bg1"/>
                      </a:solidFill>
                    </a:endParaRPr>
                  </a:p>
                  <a:p>
                    <a:pPr algn="ctr"/>
                    <a:endParaRPr lang="es-ES" sz="1050" b="1">
                      <a:solidFill>
                        <a:schemeClr val="bg1"/>
                      </a:solidFill>
                    </a:endParaRPr>
                  </a:p>
                  <a:p>
                    <a:pPr algn="ctr"/>
                    <a:r>
                      <a:rPr lang="es-ES" sz="1050" b="1">
                        <a:solidFill>
                          <a:schemeClr val="bg1"/>
                        </a:solidFill>
                      </a:rPr>
                      <a:t>San Pedro</a:t>
                    </a:r>
                    <a:r>
                      <a:rPr lang="es-ES" sz="1050" b="1" baseline="0">
                        <a:solidFill>
                          <a:schemeClr val="bg1"/>
                        </a:solidFill>
                      </a:rPr>
                      <a:t> de Macoris</a:t>
                    </a:r>
                  </a:p>
                  <a:p>
                    <a:pPr algn="ctr"/>
                    <a:r>
                      <a:rPr lang="es-ES" sz="1050" b="1" baseline="0">
                        <a:solidFill>
                          <a:schemeClr val="bg1"/>
                        </a:solidFill>
                      </a:rPr>
                      <a:t>81.403</a:t>
                    </a:r>
                  </a:p>
                  <a:p>
                    <a:pPr algn="ctr"/>
                    <a:r>
                      <a:rPr lang="es-ES" sz="1050" b="1" baseline="0">
                        <a:solidFill>
                          <a:schemeClr val="bg1"/>
                        </a:solidFill>
                      </a:rPr>
                      <a:t>2.8%</a:t>
                    </a:r>
                    <a:endParaRPr lang="es-ES" sz="1050" b="1">
                      <a:solidFill>
                        <a:schemeClr val="bg1"/>
                      </a:solidFill>
                    </a:endParaRPr>
                  </a:p>
                </xdr:txBody>
              </xdr:sp>
              <xdr:sp macro="" textlink="">
                <xdr:nvSpPr>
                  <xdr:cNvPr id="19" name="Forma libre 18"/>
                  <xdr:cNvSpPr/>
                </xdr:nvSpPr>
                <xdr:spPr>
                  <a:xfrm>
                    <a:off x="6299807" y="2266950"/>
                    <a:ext cx="1263043" cy="1213352"/>
                  </a:xfrm>
                  <a:custGeom>
                    <a:avLst/>
                    <a:gdLst>
                      <a:gd name="connsiteX0" fmla="*/ 1186843 w 1291618"/>
                      <a:gd name="connsiteY0" fmla="*/ 295275 h 1213352"/>
                      <a:gd name="connsiteX1" fmla="*/ 1215418 w 1291618"/>
                      <a:gd name="connsiteY1" fmla="*/ 247650 h 1213352"/>
                      <a:gd name="connsiteX2" fmla="*/ 1234468 w 1291618"/>
                      <a:gd name="connsiteY2" fmla="*/ 219075 h 1213352"/>
                      <a:gd name="connsiteX3" fmla="*/ 1291618 w 1291618"/>
                      <a:gd name="connsiteY3" fmla="*/ 200025 h 1213352"/>
                      <a:gd name="connsiteX4" fmla="*/ 1282093 w 1291618"/>
                      <a:gd name="connsiteY4" fmla="*/ 152400 h 1213352"/>
                      <a:gd name="connsiteX5" fmla="*/ 1167793 w 1291618"/>
                      <a:gd name="connsiteY5" fmla="*/ 104775 h 1213352"/>
                      <a:gd name="connsiteX6" fmla="*/ 1110643 w 1291618"/>
                      <a:gd name="connsiteY6" fmla="*/ 85725 h 1213352"/>
                      <a:gd name="connsiteX7" fmla="*/ 1072543 w 1291618"/>
                      <a:gd name="connsiteY7" fmla="*/ 76200 h 1213352"/>
                      <a:gd name="connsiteX8" fmla="*/ 1043968 w 1291618"/>
                      <a:gd name="connsiteY8" fmla="*/ 57150 h 1213352"/>
                      <a:gd name="connsiteX9" fmla="*/ 986818 w 1291618"/>
                      <a:gd name="connsiteY9" fmla="*/ 47625 h 1213352"/>
                      <a:gd name="connsiteX10" fmla="*/ 958243 w 1291618"/>
                      <a:gd name="connsiteY10" fmla="*/ 19050 h 1213352"/>
                      <a:gd name="connsiteX11" fmla="*/ 929668 w 1291618"/>
                      <a:gd name="connsiteY11" fmla="*/ 0 h 1213352"/>
                      <a:gd name="connsiteX12" fmla="*/ 901093 w 1291618"/>
                      <a:gd name="connsiteY12" fmla="*/ 9525 h 1213352"/>
                      <a:gd name="connsiteX13" fmla="*/ 824893 w 1291618"/>
                      <a:gd name="connsiteY13" fmla="*/ 28575 h 1213352"/>
                      <a:gd name="connsiteX14" fmla="*/ 805843 w 1291618"/>
                      <a:gd name="connsiteY14" fmla="*/ 57150 h 1213352"/>
                      <a:gd name="connsiteX15" fmla="*/ 729643 w 1291618"/>
                      <a:gd name="connsiteY15" fmla="*/ 66675 h 1213352"/>
                      <a:gd name="connsiteX16" fmla="*/ 758218 w 1291618"/>
                      <a:gd name="connsiteY16" fmla="*/ 85725 h 1213352"/>
                      <a:gd name="connsiteX17" fmla="*/ 767743 w 1291618"/>
                      <a:gd name="connsiteY17" fmla="*/ 114300 h 1213352"/>
                      <a:gd name="connsiteX18" fmla="*/ 529618 w 1291618"/>
                      <a:gd name="connsiteY18" fmla="*/ 104775 h 1213352"/>
                      <a:gd name="connsiteX19" fmla="*/ 510568 w 1291618"/>
                      <a:gd name="connsiteY19" fmla="*/ 76200 h 1213352"/>
                      <a:gd name="connsiteX20" fmla="*/ 501043 w 1291618"/>
                      <a:gd name="connsiteY20" fmla="*/ 47625 h 1213352"/>
                      <a:gd name="connsiteX21" fmla="*/ 443893 w 1291618"/>
                      <a:gd name="connsiteY21" fmla="*/ 0 h 1213352"/>
                      <a:gd name="connsiteX22" fmla="*/ 386743 w 1291618"/>
                      <a:gd name="connsiteY22" fmla="*/ 9525 h 1213352"/>
                      <a:gd name="connsiteX23" fmla="*/ 405793 w 1291618"/>
                      <a:gd name="connsiteY23" fmla="*/ 38100 h 1213352"/>
                      <a:gd name="connsiteX24" fmla="*/ 434368 w 1291618"/>
                      <a:gd name="connsiteY24" fmla="*/ 47625 h 1213352"/>
                      <a:gd name="connsiteX25" fmla="*/ 405793 w 1291618"/>
                      <a:gd name="connsiteY25" fmla="*/ 85725 h 1213352"/>
                      <a:gd name="connsiteX26" fmla="*/ 377218 w 1291618"/>
                      <a:gd name="connsiteY26" fmla="*/ 76200 h 1213352"/>
                      <a:gd name="connsiteX27" fmla="*/ 358168 w 1291618"/>
                      <a:gd name="connsiteY27" fmla="*/ 104775 h 1213352"/>
                      <a:gd name="connsiteX28" fmla="*/ 386743 w 1291618"/>
                      <a:gd name="connsiteY28" fmla="*/ 219075 h 1213352"/>
                      <a:gd name="connsiteX29" fmla="*/ 453418 w 1291618"/>
                      <a:gd name="connsiteY29" fmla="*/ 238125 h 1213352"/>
                      <a:gd name="connsiteX30" fmla="*/ 472468 w 1291618"/>
                      <a:gd name="connsiteY30" fmla="*/ 266700 h 1213352"/>
                      <a:gd name="connsiteX31" fmla="*/ 501043 w 1291618"/>
                      <a:gd name="connsiteY31" fmla="*/ 295275 h 1213352"/>
                      <a:gd name="connsiteX32" fmla="*/ 472468 w 1291618"/>
                      <a:gd name="connsiteY32" fmla="*/ 304800 h 1213352"/>
                      <a:gd name="connsiteX33" fmla="*/ 243868 w 1291618"/>
                      <a:gd name="connsiteY33" fmla="*/ 285750 h 1213352"/>
                      <a:gd name="connsiteX34" fmla="*/ 215293 w 1291618"/>
                      <a:gd name="connsiteY34" fmla="*/ 266700 h 1213352"/>
                      <a:gd name="connsiteX35" fmla="*/ 129568 w 1291618"/>
                      <a:gd name="connsiteY35" fmla="*/ 247650 h 1213352"/>
                      <a:gd name="connsiteX36" fmla="*/ 5743 w 1291618"/>
                      <a:gd name="connsiteY36" fmla="*/ 257175 h 1213352"/>
                      <a:gd name="connsiteX37" fmla="*/ 24793 w 1291618"/>
                      <a:gd name="connsiteY37" fmla="*/ 314325 h 1213352"/>
                      <a:gd name="connsiteX38" fmla="*/ 62893 w 1291618"/>
                      <a:gd name="connsiteY38" fmla="*/ 371475 h 1213352"/>
                      <a:gd name="connsiteX39" fmla="*/ 72418 w 1291618"/>
                      <a:gd name="connsiteY39" fmla="*/ 400050 h 1213352"/>
                      <a:gd name="connsiteX40" fmla="*/ 100993 w 1291618"/>
                      <a:gd name="connsiteY40" fmla="*/ 419100 h 1213352"/>
                      <a:gd name="connsiteX41" fmla="*/ 120043 w 1291618"/>
                      <a:gd name="connsiteY41" fmla="*/ 447675 h 1213352"/>
                      <a:gd name="connsiteX42" fmla="*/ 177193 w 1291618"/>
                      <a:gd name="connsiteY42" fmla="*/ 457200 h 1213352"/>
                      <a:gd name="connsiteX43" fmla="*/ 234343 w 1291618"/>
                      <a:gd name="connsiteY43" fmla="*/ 485775 h 1213352"/>
                      <a:gd name="connsiteX44" fmla="*/ 243868 w 1291618"/>
                      <a:gd name="connsiteY44" fmla="*/ 542925 h 1213352"/>
                      <a:gd name="connsiteX45" fmla="*/ 301018 w 1291618"/>
                      <a:gd name="connsiteY45" fmla="*/ 581025 h 1213352"/>
                      <a:gd name="connsiteX46" fmla="*/ 329593 w 1291618"/>
                      <a:gd name="connsiteY46" fmla="*/ 590550 h 1213352"/>
                      <a:gd name="connsiteX47" fmla="*/ 329593 w 1291618"/>
                      <a:gd name="connsiteY47" fmla="*/ 733425 h 1213352"/>
                      <a:gd name="connsiteX48" fmla="*/ 272443 w 1291618"/>
                      <a:gd name="connsiteY48" fmla="*/ 790575 h 1213352"/>
                      <a:gd name="connsiteX49" fmla="*/ 281968 w 1291618"/>
                      <a:gd name="connsiteY49" fmla="*/ 857250 h 1213352"/>
                      <a:gd name="connsiteX50" fmla="*/ 281968 w 1291618"/>
                      <a:gd name="connsiteY50" fmla="*/ 990600 h 1213352"/>
                      <a:gd name="connsiteX51" fmla="*/ 358168 w 1291618"/>
                      <a:gd name="connsiteY51" fmla="*/ 1000125 h 1213352"/>
                      <a:gd name="connsiteX52" fmla="*/ 377218 w 1291618"/>
                      <a:gd name="connsiteY52" fmla="*/ 1028700 h 1213352"/>
                      <a:gd name="connsiteX53" fmla="*/ 415318 w 1291618"/>
                      <a:gd name="connsiteY53" fmla="*/ 1095375 h 1213352"/>
                      <a:gd name="connsiteX54" fmla="*/ 501043 w 1291618"/>
                      <a:gd name="connsiteY54" fmla="*/ 1104900 h 1213352"/>
                      <a:gd name="connsiteX55" fmla="*/ 539143 w 1291618"/>
                      <a:gd name="connsiteY55" fmla="*/ 1114425 h 1213352"/>
                      <a:gd name="connsiteX56" fmla="*/ 605818 w 1291618"/>
                      <a:gd name="connsiteY56" fmla="*/ 1123950 h 1213352"/>
                      <a:gd name="connsiteX57" fmla="*/ 596293 w 1291618"/>
                      <a:gd name="connsiteY57" fmla="*/ 1181100 h 1213352"/>
                      <a:gd name="connsiteX58" fmla="*/ 605818 w 1291618"/>
                      <a:gd name="connsiteY58" fmla="*/ 1209675 h 1213352"/>
                      <a:gd name="connsiteX59" fmla="*/ 643918 w 1291618"/>
                      <a:gd name="connsiteY59" fmla="*/ 1171575 h 1213352"/>
                      <a:gd name="connsiteX60" fmla="*/ 672493 w 1291618"/>
                      <a:gd name="connsiteY60" fmla="*/ 1162050 h 1213352"/>
                      <a:gd name="connsiteX61" fmla="*/ 739168 w 1291618"/>
                      <a:gd name="connsiteY61" fmla="*/ 1152525 h 1213352"/>
                      <a:gd name="connsiteX62" fmla="*/ 767743 w 1291618"/>
                      <a:gd name="connsiteY62" fmla="*/ 1095375 h 1213352"/>
                      <a:gd name="connsiteX63" fmla="*/ 796318 w 1291618"/>
                      <a:gd name="connsiteY63" fmla="*/ 1076325 h 1213352"/>
                      <a:gd name="connsiteX64" fmla="*/ 815368 w 1291618"/>
                      <a:gd name="connsiteY64" fmla="*/ 1047750 h 1213352"/>
                      <a:gd name="connsiteX65" fmla="*/ 834418 w 1291618"/>
                      <a:gd name="connsiteY65" fmla="*/ 942975 h 1213352"/>
                      <a:gd name="connsiteX66" fmla="*/ 872518 w 1291618"/>
                      <a:gd name="connsiteY66" fmla="*/ 952500 h 1213352"/>
                      <a:gd name="connsiteX67" fmla="*/ 929668 w 1291618"/>
                      <a:gd name="connsiteY67" fmla="*/ 942975 h 1213352"/>
                      <a:gd name="connsiteX68" fmla="*/ 939193 w 1291618"/>
                      <a:gd name="connsiteY68" fmla="*/ 904875 h 1213352"/>
                      <a:gd name="connsiteX69" fmla="*/ 977293 w 1291618"/>
                      <a:gd name="connsiteY69" fmla="*/ 781050 h 1213352"/>
                      <a:gd name="connsiteX70" fmla="*/ 1063018 w 1291618"/>
                      <a:gd name="connsiteY70" fmla="*/ 771525 h 1213352"/>
                      <a:gd name="connsiteX71" fmla="*/ 1091593 w 1291618"/>
                      <a:gd name="connsiteY71" fmla="*/ 762000 h 1213352"/>
                      <a:gd name="connsiteX72" fmla="*/ 1101118 w 1291618"/>
                      <a:gd name="connsiteY72" fmla="*/ 733425 h 1213352"/>
                      <a:gd name="connsiteX73" fmla="*/ 1110643 w 1291618"/>
                      <a:gd name="connsiteY73" fmla="*/ 695325 h 1213352"/>
                      <a:gd name="connsiteX74" fmla="*/ 1148743 w 1291618"/>
                      <a:gd name="connsiteY74" fmla="*/ 685800 h 1213352"/>
                      <a:gd name="connsiteX75" fmla="*/ 1215418 w 1291618"/>
                      <a:gd name="connsiteY75" fmla="*/ 619125 h 1213352"/>
                      <a:gd name="connsiteX76" fmla="*/ 1215418 w 1291618"/>
                      <a:gd name="connsiteY76" fmla="*/ 466725 h 1213352"/>
                      <a:gd name="connsiteX77" fmla="*/ 1196368 w 1291618"/>
                      <a:gd name="connsiteY77" fmla="*/ 438150 h 1213352"/>
                      <a:gd name="connsiteX78" fmla="*/ 1177318 w 1291618"/>
                      <a:gd name="connsiteY78" fmla="*/ 381000 h 1213352"/>
                      <a:gd name="connsiteX79" fmla="*/ 1186843 w 1291618"/>
                      <a:gd name="connsiteY79" fmla="*/ 295275 h 1213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Lst>
                    <a:rect l="l" t="t" r="r" b="b"/>
                    <a:pathLst>
                      <a:path w="1291618" h="1213352">
                        <a:moveTo>
                          <a:pt x="1186843" y="295275"/>
                        </a:moveTo>
                        <a:cubicBezTo>
                          <a:pt x="1196368" y="279400"/>
                          <a:pt x="1205606" y="263349"/>
                          <a:pt x="1215418" y="247650"/>
                        </a:cubicBezTo>
                        <a:cubicBezTo>
                          <a:pt x="1221485" y="237942"/>
                          <a:pt x="1224760" y="225142"/>
                          <a:pt x="1234468" y="219075"/>
                        </a:cubicBezTo>
                        <a:cubicBezTo>
                          <a:pt x="1251496" y="208432"/>
                          <a:pt x="1291618" y="200025"/>
                          <a:pt x="1291618" y="200025"/>
                        </a:cubicBezTo>
                        <a:cubicBezTo>
                          <a:pt x="1288443" y="184150"/>
                          <a:pt x="1292032" y="165179"/>
                          <a:pt x="1282093" y="152400"/>
                        </a:cubicBezTo>
                        <a:cubicBezTo>
                          <a:pt x="1245032" y="104750"/>
                          <a:pt x="1217027" y="117083"/>
                          <a:pt x="1167793" y="104775"/>
                        </a:cubicBezTo>
                        <a:cubicBezTo>
                          <a:pt x="1148312" y="99905"/>
                          <a:pt x="1130124" y="90595"/>
                          <a:pt x="1110643" y="85725"/>
                        </a:cubicBezTo>
                        <a:lnTo>
                          <a:pt x="1072543" y="76200"/>
                        </a:lnTo>
                        <a:cubicBezTo>
                          <a:pt x="1063018" y="69850"/>
                          <a:pt x="1054828" y="60770"/>
                          <a:pt x="1043968" y="57150"/>
                        </a:cubicBezTo>
                        <a:cubicBezTo>
                          <a:pt x="1025646" y="51043"/>
                          <a:pt x="1004466" y="55469"/>
                          <a:pt x="986818" y="47625"/>
                        </a:cubicBezTo>
                        <a:cubicBezTo>
                          <a:pt x="974509" y="42154"/>
                          <a:pt x="968591" y="27674"/>
                          <a:pt x="958243" y="19050"/>
                        </a:cubicBezTo>
                        <a:cubicBezTo>
                          <a:pt x="949449" y="11721"/>
                          <a:pt x="939193" y="6350"/>
                          <a:pt x="929668" y="0"/>
                        </a:cubicBezTo>
                        <a:cubicBezTo>
                          <a:pt x="920143" y="3175"/>
                          <a:pt x="910779" y="6883"/>
                          <a:pt x="901093" y="9525"/>
                        </a:cubicBezTo>
                        <a:cubicBezTo>
                          <a:pt x="875834" y="16414"/>
                          <a:pt x="848311" y="16866"/>
                          <a:pt x="824893" y="28575"/>
                        </a:cubicBezTo>
                        <a:cubicBezTo>
                          <a:pt x="814654" y="33695"/>
                          <a:pt x="816472" y="52898"/>
                          <a:pt x="805843" y="57150"/>
                        </a:cubicBezTo>
                        <a:cubicBezTo>
                          <a:pt x="782076" y="66657"/>
                          <a:pt x="755043" y="63500"/>
                          <a:pt x="729643" y="66675"/>
                        </a:cubicBezTo>
                        <a:cubicBezTo>
                          <a:pt x="739168" y="73025"/>
                          <a:pt x="751067" y="76786"/>
                          <a:pt x="758218" y="85725"/>
                        </a:cubicBezTo>
                        <a:cubicBezTo>
                          <a:pt x="764490" y="93565"/>
                          <a:pt x="777749" y="113466"/>
                          <a:pt x="767743" y="114300"/>
                        </a:cubicBezTo>
                        <a:cubicBezTo>
                          <a:pt x="688579" y="120897"/>
                          <a:pt x="608993" y="107950"/>
                          <a:pt x="529618" y="104775"/>
                        </a:cubicBezTo>
                        <a:cubicBezTo>
                          <a:pt x="523268" y="95250"/>
                          <a:pt x="515688" y="86439"/>
                          <a:pt x="510568" y="76200"/>
                        </a:cubicBezTo>
                        <a:cubicBezTo>
                          <a:pt x="506078" y="67220"/>
                          <a:pt x="506612" y="55979"/>
                          <a:pt x="501043" y="47625"/>
                        </a:cubicBezTo>
                        <a:cubicBezTo>
                          <a:pt x="486375" y="25623"/>
                          <a:pt x="464978" y="14057"/>
                          <a:pt x="443893" y="0"/>
                        </a:cubicBezTo>
                        <a:cubicBezTo>
                          <a:pt x="424843" y="3175"/>
                          <a:pt x="400399" y="-4131"/>
                          <a:pt x="386743" y="9525"/>
                        </a:cubicBezTo>
                        <a:cubicBezTo>
                          <a:pt x="378648" y="17620"/>
                          <a:pt x="396854" y="30949"/>
                          <a:pt x="405793" y="38100"/>
                        </a:cubicBezTo>
                        <a:cubicBezTo>
                          <a:pt x="413633" y="44372"/>
                          <a:pt x="424843" y="44450"/>
                          <a:pt x="434368" y="47625"/>
                        </a:cubicBezTo>
                        <a:cubicBezTo>
                          <a:pt x="417679" y="164445"/>
                          <a:pt x="440124" y="113189"/>
                          <a:pt x="405793" y="85725"/>
                        </a:cubicBezTo>
                        <a:cubicBezTo>
                          <a:pt x="397953" y="79453"/>
                          <a:pt x="386743" y="79375"/>
                          <a:pt x="377218" y="76200"/>
                        </a:cubicBezTo>
                        <a:cubicBezTo>
                          <a:pt x="370868" y="85725"/>
                          <a:pt x="359119" y="93367"/>
                          <a:pt x="358168" y="104775"/>
                        </a:cubicBezTo>
                        <a:cubicBezTo>
                          <a:pt x="356063" y="130034"/>
                          <a:pt x="356879" y="195184"/>
                          <a:pt x="386743" y="219075"/>
                        </a:cubicBezTo>
                        <a:cubicBezTo>
                          <a:pt x="392954" y="224044"/>
                          <a:pt x="450929" y="237503"/>
                          <a:pt x="453418" y="238125"/>
                        </a:cubicBezTo>
                        <a:cubicBezTo>
                          <a:pt x="459768" y="247650"/>
                          <a:pt x="465139" y="257906"/>
                          <a:pt x="472468" y="266700"/>
                        </a:cubicBezTo>
                        <a:cubicBezTo>
                          <a:pt x="481092" y="277048"/>
                          <a:pt x="501043" y="281805"/>
                          <a:pt x="501043" y="295275"/>
                        </a:cubicBezTo>
                        <a:cubicBezTo>
                          <a:pt x="501043" y="305315"/>
                          <a:pt x="481993" y="301625"/>
                          <a:pt x="472468" y="304800"/>
                        </a:cubicBezTo>
                        <a:cubicBezTo>
                          <a:pt x="396268" y="298450"/>
                          <a:pt x="319507" y="296956"/>
                          <a:pt x="243868" y="285750"/>
                        </a:cubicBezTo>
                        <a:cubicBezTo>
                          <a:pt x="232544" y="284072"/>
                          <a:pt x="225532" y="271820"/>
                          <a:pt x="215293" y="266700"/>
                        </a:cubicBezTo>
                        <a:cubicBezTo>
                          <a:pt x="191845" y="254976"/>
                          <a:pt x="151518" y="251308"/>
                          <a:pt x="129568" y="247650"/>
                        </a:cubicBezTo>
                        <a:cubicBezTo>
                          <a:pt x="88293" y="250825"/>
                          <a:pt x="40668" y="234950"/>
                          <a:pt x="5743" y="257175"/>
                        </a:cubicBezTo>
                        <a:cubicBezTo>
                          <a:pt x="-11198" y="267956"/>
                          <a:pt x="13654" y="297617"/>
                          <a:pt x="24793" y="314325"/>
                        </a:cubicBezTo>
                        <a:cubicBezTo>
                          <a:pt x="37493" y="333375"/>
                          <a:pt x="55653" y="349755"/>
                          <a:pt x="62893" y="371475"/>
                        </a:cubicBezTo>
                        <a:cubicBezTo>
                          <a:pt x="66068" y="381000"/>
                          <a:pt x="66146" y="392210"/>
                          <a:pt x="72418" y="400050"/>
                        </a:cubicBezTo>
                        <a:cubicBezTo>
                          <a:pt x="79569" y="408989"/>
                          <a:pt x="91468" y="412750"/>
                          <a:pt x="100993" y="419100"/>
                        </a:cubicBezTo>
                        <a:cubicBezTo>
                          <a:pt x="107343" y="428625"/>
                          <a:pt x="109804" y="442555"/>
                          <a:pt x="120043" y="447675"/>
                        </a:cubicBezTo>
                        <a:cubicBezTo>
                          <a:pt x="137317" y="456312"/>
                          <a:pt x="158340" y="453010"/>
                          <a:pt x="177193" y="457200"/>
                        </a:cubicBezTo>
                        <a:cubicBezTo>
                          <a:pt x="206769" y="463773"/>
                          <a:pt x="208655" y="468650"/>
                          <a:pt x="234343" y="485775"/>
                        </a:cubicBezTo>
                        <a:cubicBezTo>
                          <a:pt x="237518" y="504825"/>
                          <a:pt x="237761" y="524603"/>
                          <a:pt x="243868" y="542925"/>
                        </a:cubicBezTo>
                        <a:cubicBezTo>
                          <a:pt x="256205" y="579936"/>
                          <a:pt x="267793" y="571532"/>
                          <a:pt x="301018" y="581025"/>
                        </a:cubicBezTo>
                        <a:cubicBezTo>
                          <a:pt x="310672" y="583783"/>
                          <a:pt x="320068" y="587375"/>
                          <a:pt x="329593" y="590550"/>
                        </a:cubicBezTo>
                        <a:cubicBezTo>
                          <a:pt x="346604" y="641584"/>
                          <a:pt x="357482" y="661710"/>
                          <a:pt x="329593" y="733425"/>
                        </a:cubicBezTo>
                        <a:cubicBezTo>
                          <a:pt x="319828" y="758534"/>
                          <a:pt x="272443" y="790575"/>
                          <a:pt x="272443" y="790575"/>
                        </a:cubicBezTo>
                        <a:cubicBezTo>
                          <a:pt x="275618" y="812800"/>
                          <a:pt x="281968" y="834799"/>
                          <a:pt x="281968" y="857250"/>
                        </a:cubicBezTo>
                        <a:cubicBezTo>
                          <a:pt x="281968" y="890427"/>
                          <a:pt x="251845" y="960477"/>
                          <a:pt x="281968" y="990600"/>
                        </a:cubicBezTo>
                        <a:cubicBezTo>
                          <a:pt x="300068" y="1008700"/>
                          <a:pt x="332768" y="996950"/>
                          <a:pt x="358168" y="1000125"/>
                        </a:cubicBezTo>
                        <a:cubicBezTo>
                          <a:pt x="364518" y="1009650"/>
                          <a:pt x="373198" y="1017981"/>
                          <a:pt x="377218" y="1028700"/>
                        </a:cubicBezTo>
                        <a:cubicBezTo>
                          <a:pt x="390100" y="1063053"/>
                          <a:pt x="372486" y="1084667"/>
                          <a:pt x="415318" y="1095375"/>
                        </a:cubicBezTo>
                        <a:cubicBezTo>
                          <a:pt x="443210" y="1102348"/>
                          <a:pt x="472468" y="1101725"/>
                          <a:pt x="501043" y="1104900"/>
                        </a:cubicBezTo>
                        <a:cubicBezTo>
                          <a:pt x="513743" y="1108075"/>
                          <a:pt x="526263" y="1112083"/>
                          <a:pt x="539143" y="1114425"/>
                        </a:cubicBezTo>
                        <a:cubicBezTo>
                          <a:pt x="561232" y="1118441"/>
                          <a:pt x="591207" y="1106904"/>
                          <a:pt x="605818" y="1123950"/>
                        </a:cubicBezTo>
                        <a:cubicBezTo>
                          <a:pt x="618387" y="1138613"/>
                          <a:pt x="599468" y="1162050"/>
                          <a:pt x="596293" y="1181100"/>
                        </a:cubicBezTo>
                        <a:cubicBezTo>
                          <a:pt x="599468" y="1190625"/>
                          <a:pt x="596838" y="1205185"/>
                          <a:pt x="605818" y="1209675"/>
                        </a:cubicBezTo>
                        <a:cubicBezTo>
                          <a:pt x="639685" y="1226608"/>
                          <a:pt x="635451" y="1180042"/>
                          <a:pt x="643918" y="1171575"/>
                        </a:cubicBezTo>
                        <a:cubicBezTo>
                          <a:pt x="651018" y="1164475"/>
                          <a:pt x="662648" y="1164019"/>
                          <a:pt x="672493" y="1162050"/>
                        </a:cubicBezTo>
                        <a:cubicBezTo>
                          <a:pt x="694508" y="1157647"/>
                          <a:pt x="716943" y="1155700"/>
                          <a:pt x="739168" y="1152525"/>
                        </a:cubicBezTo>
                        <a:cubicBezTo>
                          <a:pt x="746915" y="1129284"/>
                          <a:pt x="749279" y="1113839"/>
                          <a:pt x="767743" y="1095375"/>
                        </a:cubicBezTo>
                        <a:cubicBezTo>
                          <a:pt x="775838" y="1087280"/>
                          <a:pt x="786793" y="1082675"/>
                          <a:pt x="796318" y="1076325"/>
                        </a:cubicBezTo>
                        <a:cubicBezTo>
                          <a:pt x="802668" y="1066800"/>
                          <a:pt x="812223" y="1058757"/>
                          <a:pt x="815368" y="1047750"/>
                        </a:cubicBezTo>
                        <a:cubicBezTo>
                          <a:pt x="825120" y="1013618"/>
                          <a:pt x="816155" y="973414"/>
                          <a:pt x="834418" y="942975"/>
                        </a:cubicBezTo>
                        <a:cubicBezTo>
                          <a:pt x="841153" y="931750"/>
                          <a:pt x="859818" y="949325"/>
                          <a:pt x="872518" y="952500"/>
                        </a:cubicBezTo>
                        <a:cubicBezTo>
                          <a:pt x="891568" y="949325"/>
                          <a:pt x="913953" y="954200"/>
                          <a:pt x="929668" y="942975"/>
                        </a:cubicBezTo>
                        <a:cubicBezTo>
                          <a:pt x="940320" y="935366"/>
                          <a:pt x="937202" y="917814"/>
                          <a:pt x="939193" y="904875"/>
                        </a:cubicBezTo>
                        <a:cubicBezTo>
                          <a:pt x="942600" y="882729"/>
                          <a:pt x="935814" y="798333"/>
                          <a:pt x="977293" y="781050"/>
                        </a:cubicBezTo>
                        <a:cubicBezTo>
                          <a:pt x="1003832" y="769992"/>
                          <a:pt x="1034443" y="774700"/>
                          <a:pt x="1063018" y="771525"/>
                        </a:cubicBezTo>
                        <a:cubicBezTo>
                          <a:pt x="1072543" y="768350"/>
                          <a:pt x="1084493" y="769100"/>
                          <a:pt x="1091593" y="762000"/>
                        </a:cubicBezTo>
                        <a:cubicBezTo>
                          <a:pt x="1098693" y="754900"/>
                          <a:pt x="1098360" y="743079"/>
                          <a:pt x="1101118" y="733425"/>
                        </a:cubicBezTo>
                        <a:cubicBezTo>
                          <a:pt x="1104714" y="720838"/>
                          <a:pt x="1101386" y="704582"/>
                          <a:pt x="1110643" y="695325"/>
                        </a:cubicBezTo>
                        <a:cubicBezTo>
                          <a:pt x="1119900" y="686068"/>
                          <a:pt x="1136043" y="688975"/>
                          <a:pt x="1148743" y="685800"/>
                        </a:cubicBezTo>
                        <a:cubicBezTo>
                          <a:pt x="1214247" y="642131"/>
                          <a:pt x="1198653" y="669420"/>
                          <a:pt x="1215418" y="619125"/>
                        </a:cubicBezTo>
                        <a:cubicBezTo>
                          <a:pt x="1221233" y="560975"/>
                          <a:pt x="1233597" y="521263"/>
                          <a:pt x="1215418" y="466725"/>
                        </a:cubicBezTo>
                        <a:cubicBezTo>
                          <a:pt x="1211798" y="455865"/>
                          <a:pt x="1201017" y="448611"/>
                          <a:pt x="1196368" y="438150"/>
                        </a:cubicBezTo>
                        <a:cubicBezTo>
                          <a:pt x="1188213" y="419800"/>
                          <a:pt x="1177318" y="381000"/>
                          <a:pt x="1177318" y="381000"/>
                        </a:cubicBezTo>
                        <a:lnTo>
                          <a:pt x="1186843" y="295275"/>
                        </a:lnTo>
                        <a:close/>
                      </a:path>
                    </a:pathLst>
                  </a:custGeom>
                  <a:solidFill>
                    <a:schemeClr val="accent3">
                      <a:lumMod val="60000"/>
                      <a:lumOff val="4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ES" sz="1100" b="1">
                        <a:solidFill>
                          <a:sysClr val="windowText" lastClr="000000"/>
                        </a:solidFill>
                      </a:rPr>
                      <a:t>El Seibo</a:t>
                    </a:r>
                  </a:p>
                  <a:p>
                    <a:pPr algn="ctr"/>
                    <a:r>
                      <a:rPr lang="es-ES" sz="1100" b="1">
                        <a:solidFill>
                          <a:sysClr val="windowText" lastClr="000000"/>
                        </a:solidFill>
                      </a:rPr>
                      <a:t>11,004</a:t>
                    </a:r>
                  </a:p>
                  <a:p>
                    <a:pPr algn="ctr"/>
                    <a:r>
                      <a:rPr lang="es-ES" sz="1100" b="1">
                        <a:solidFill>
                          <a:sysClr val="windowText" lastClr="000000"/>
                        </a:solidFill>
                      </a:rPr>
                      <a:t>0.4%</a:t>
                    </a:r>
                  </a:p>
                </xdr:txBody>
              </xdr:sp>
              <xdr:sp macro="" textlink="">
                <xdr:nvSpPr>
                  <xdr:cNvPr id="20" name="Forma libre 19"/>
                  <xdr:cNvSpPr/>
                </xdr:nvSpPr>
                <xdr:spPr>
                  <a:xfrm>
                    <a:off x="6809559" y="3161039"/>
                    <a:ext cx="639963" cy="736209"/>
                  </a:xfrm>
                  <a:custGeom>
                    <a:avLst/>
                    <a:gdLst>
                      <a:gd name="connsiteX0" fmla="*/ 105591 w 630769"/>
                      <a:gd name="connsiteY0" fmla="*/ 363211 h 706111"/>
                      <a:gd name="connsiteX1" fmla="*/ 57966 w 630769"/>
                      <a:gd name="connsiteY1" fmla="*/ 353686 h 706111"/>
                      <a:gd name="connsiteX2" fmla="*/ 48441 w 630769"/>
                      <a:gd name="connsiteY2" fmla="*/ 391786 h 706111"/>
                      <a:gd name="connsiteX3" fmla="*/ 10341 w 630769"/>
                      <a:gd name="connsiteY3" fmla="*/ 467986 h 706111"/>
                      <a:gd name="connsiteX4" fmla="*/ 816 w 630769"/>
                      <a:gd name="connsiteY4" fmla="*/ 496561 h 706111"/>
                      <a:gd name="connsiteX5" fmla="*/ 57966 w 630769"/>
                      <a:gd name="connsiteY5" fmla="*/ 525136 h 706111"/>
                      <a:gd name="connsiteX6" fmla="*/ 67491 w 630769"/>
                      <a:gd name="connsiteY6" fmla="*/ 639436 h 706111"/>
                      <a:gd name="connsiteX7" fmla="*/ 86541 w 630769"/>
                      <a:gd name="connsiteY7" fmla="*/ 696586 h 706111"/>
                      <a:gd name="connsiteX8" fmla="*/ 124641 w 630769"/>
                      <a:gd name="connsiteY8" fmla="*/ 706111 h 706111"/>
                      <a:gd name="connsiteX9" fmla="*/ 172266 w 630769"/>
                      <a:gd name="connsiteY9" fmla="*/ 696586 h 706111"/>
                      <a:gd name="connsiteX10" fmla="*/ 229416 w 630769"/>
                      <a:gd name="connsiteY10" fmla="*/ 668011 h 706111"/>
                      <a:gd name="connsiteX11" fmla="*/ 372291 w 630769"/>
                      <a:gd name="connsiteY11" fmla="*/ 648961 h 706111"/>
                      <a:gd name="connsiteX12" fmla="*/ 419916 w 630769"/>
                      <a:gd name="connsiteY12" fmla="*/ 658486 h 706111"/>
                      <a:gd name="connsiteX13" fmla="*/ 448491 w 630769"/>
                      <a:gd name="connsiteY13" fmla="*/ 668011 h 706111"/>
                      <a:gd name="connsiteX14" fmla="*/ 534216 w 630769"/>
                      <a:gd name="connsiteY14" fmla="*/ 658486 h 706111"/>
                      <a:gd name="connsiteX15" fmla="*/ 543741 w 630769"/>
                      <a:gd name="connsiteY15" fmla="*/ 629911 h 706111"/>
                      <a:gd name="connsiteX16" fmla="*/ 553266 w 630769"/>
                      <a:gd name="connsiteY16" fmla="*/ 563236 h 706111"/>
                      <a:gd name="connsiteX17" fmla="*/ 572316 w 630769"/>
                      <a:gd name="connsiteY17" fmla="*/ 534661 h 706111"/>
                      <a:gd name="connsiteX18" fmla="*/ 581841 w 630769"/>
                      <a:gd name="connsiteY18" fmla="*/ 487036 h 706111"/>
                      <a:gd name="connsiteX19" fmla="*/ 610416 w 630769"/>
                      <a:gd name="connsiteY19" fmla="*/ 458461 h 706111"/>
                      <a:gd name="connsiteX20" fmla="*/ 619941 w 630769"/>
                      <a:gd name="connsiteY20" fmla="*/ 429886 h 706111"/>
                      <a:gd name="connsiteX21" fmla="*/ 619941 w 630769"/>
                      <a:gd name="connsiteY21" fmla="*/ 248911 h 706111"/>
                      <a:gd name="connsiteX22" fmla="*/ 591366 w 630769"/>
                      <a:gd name="connsiteY22" fmla="*/ 220336 h 706111"/>
                      <a:gd name="connsiteX23" fmla="*/ 534216 w 630769"/>
                      <a:gd name="connsiteY23" fmla="*/ 182236 h 706111"/>
                      <a:gd name="connsiteX24" fmla="*/ 515166 w 630769"/>
                      <a:gd name="connsiteY24" fmla="*/ 125086 h 706111"/>
                      <a:gd name="connsiteX25" fmla="*/ 477066 w 630769"/>
                      <a:gd name="connsiteY25" fmla="*/ 67936 h 706111"/>
                      <a:gd name="connsiteX26" fmla="*/ 448491 w 630769"/>
                      <a:gd name="connsiteY26" fmla="*/ 1261 h 706111"/>
                      <a:gd name="connsiteX27" fmla="*/ 372291 w 630769"/>
                      <a:gd name="connsiteY27" fmla="*/ 10786 h 706111"/>
                      <a:gd name="connsiteX28" fmla="*/ 343716 w 630769"/>
                      <a:gd name="connsiteY28" fmla="*/ 58411 h 706111"/>
                      <a:gd name="connsiteX29" fmla="*/ 334191 w 630769"/>
                      <a:gd name="connsiteY29" fmla="*/ 29836 h 706111"/>
                      <a:gd name="connsiteX30" fmla="*/ 305616 w 630769"/>
                      <a:gd name="connsiteY30" fmla="*/ 20311 h 706111"/>
                      <a:gd name="connsiteX31" fmla="*/ 296091 w 630769"/>
                      <a:gd name="connsiteY31" fmla="*/ 163186 h 706111"/>
                      <a:gd name="connsiteX32" fmla="*/ 267516 w 630769"/>
                      <a:gd name="connsiteY32" fmla="*/ 182236 h 706111"/>
                      <a:gd name="connsiteX33" fmla="*/ 248466 w 630769"/>
                      <a:gd name="connsiteY33" fmla="*/ 210811 h 706111"/>
                      <a:gd name="connsiteX34" fmla="*/ 257991 w 630769"/>
                      <a:gd name="connsiteY34" fmla="*/ 239386 h 706111"/>
                      <a:gd name="connsiteX35" fmla="*/ 200841 w 630769"/>
                      <a:gd name="connsiteY35" fmla="*/ 258436 h 706111"/>
                      <a:gd name="connsiteX36" fmla="*/ 105591 w 630769"/>
                      <a:gd name="connsiteY36" fmla="*/ 277486 h 706111"/>
                      <a:gd name="connsiteX37" fmla="*/ 77016 w 630769"/>
                      <a:gd name="connsiteY37" fmla="*/ 287011 h 706111"/>
                      <a:gd name="connsiteX38" fmla="*/ 48441 w 630769"/>
                      <a:gd name="connsiteY38" fmla="*/ 267961 h 706111"/>
                      <a:gd name="connsiteX39" fmla="*/ 67491 w 630769"/>
                      <a:gd name="connsiteY39" fmla="*/ 306061 h 7061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630769" h="706111">
                        <a:moveTo>
                          <a:pt x="105591" y="363211"/>
                        </a:moveTo>
                        <a:cubicBezTo>
                          <a:pt x="89716" y="360036"/>
                          <a:pt x="72446" y="346446"/>
                          <a:pt x="57966" y="353686"/>
                        </a:cubicBezTo>
                        <a:cubicBezTo>
                          <a:pt x="46257" y="359540"/>
                          <a:pt x="50783" y="378906"/>
                          <a:pt x="48441" y="391786"/>
                        </a:cubicBezTo>
                        <a:cubicBezTo>
                          <a:pt x="34319" y="469460"/>
                          <a:pt x="61636" y="450888"/>
                          <a:pt x="10341" y="467986"/>
                        </a:cubicBezTo>
                        <a:cubicBezTo>
                          <a:pt x="7166" y="477511"/>
                          <a:pt x="-2913" y="487239"/>
                          <a:pt x="816" y="496561"/>
                        </a:cubicBezTo>
                        <a:cubicBezTo>
                          <a:pt x="6497" y="510764"/>
                          <a:pt x="45937" y="521126"/>
                          <a:pt x="57966" y="525136"/>
                        </a:cubicBezTo>
                        <a:cubicBezTo>
                          <a:pt x="61141" y="563236"/>
                          <a:pt x="61206" y="601724"/>
                          <a:pt x="67491" y="639436"/>
                        </a:cubicBezTo>
                        <a:cubicBezTo>
                          <a:pt x="70792" y="659243"/>
                          <a:pt x="67060" y="691716"/>
                          <a:pt x="86541" y="696586"/>
                        </a:cubicBezTo>
                        <a:lnTo>
                          <a:pt x="124641" y="706111"/>
                        </a:lnTo>
                        <a:cubicBezTo>
                          <a:pt x="140516" y="702936"/>
                          <a:pt x="157107" y="702270"/>
                          <a:pt x="172266" y="696586"/>
                        </a:cubicBezTo>
                        <a:cubicBezTo>
                          <a:pt x="224925" y="676839"/>
                          <a:pt x="176185" y="676883"/>
                          <a:pt x="229416" y="668011"/>
                        </a:cubicBezTo>
                        <a:cubicBezTo>
                          <a:pt x="276809" y="660112"/>
                          <a:pt x="324666" y="655311"/>
                          <a:pt x="372291" y="648961"/>
                        </a:cubicBezTo>
                        <a:cubicBezTo>
                          <a:pt x="388166" y="652136"/>
                          <a:pt x="404210" y="654559"/>
                          <a:pt x="419916" y="658486"/>
                        </a:cubicBezTo>
                        <a:cubicBezTo>
                          <a:pt x="429656" y="660921"/>
                          <a:pt x="438451" y="668011"/>
                          <a:pt x="448491" y="668011"/>
                        </a:cubicBezTo>
                        <a:cubicBezTo>
                          <a:pt x="477242" y="668011"/>
                          <a:pt x="505641" y="661661"/>
                          <a:pt x="534216" y="658486"/>
                        </a:cubicBezTo>
                        <a:cubicBezTo>
                          <a:pt x="537391" y="648961"/>
                          <a:pt x="541772" y="639756"/>
                          <a:pt x="543741" y="629911"/>
                        </a:cubicBezTo>
                        <a:cubicBezTo>
                          <a:pt x="548144" y="607896"/>
                          <a:pt x="546815" y="584740"/>
                          <a:pt x="553266" y="563236"/>
                        </a:cubicBezTo>
                        <a:cubicBezTo>
                          <a:pt x="556555" y="552271"/>
                          <a:pt x="565966" y="544186"/>
                          <a:pt x="572316" y="534661"/>
                        </a:cubicBezTo>
                        <a:cubicBezTo>
                          <a:pt x="575491" y="518786"/>
                          <a:pt x="574601" y="501516"/>
                          <a:pt x="581841" y="487036"/>
                        </a:cubicBezTo>
                        <a:cubicBezTo>
                          <a:pt x="587865" y="474988"/>
                          <a:pt x="602944" y="469669"/>
                          <a:pt x="610416" y="458461"/>
                        </a:cubicBezTo>
                        <a:cubicBezTo>
                          <a:pt x="615985" y="450107"/>
                          <a:pt x="616766" y="439411"/>
                          <a:pt x="619941" y="429886"/>
                        </a:cubicBezTo>
                        <a:cubicBezTo>
                          <a:pt x="628178" y="363987"/>
                          <a:pt x="639507" y="317392"/>
                          <a:pt x="619941" y="248911"/>
                        </a:cubicBezTo>
                        <a:cubicBezTo>
                          <a:pt x="616240" y="235959"/>
                          <a:pt x="601999" y="228606"/>
                          <a:pt x="591366" y="220336"/>
                        </a:cubicBezTo>
                        <a:cubicBezTo>
                          <a:pt x="573294" y="206280"/>
                          <a:pt x="534216" y="182236"/>
                          <a:pt x="534216" y="182236"/>
                        </a:cubicBezTo>
                        <a:cubicBezTo>
                          <a:pt x="527866" y="163186"/>
                          <a:pt x="526305" y="141794"/>
                          <a:pt x="515166" y="125086"/>
                        </a:cubicBezTo>
                        <a:lnTo>
                          <a:pt x="477066" y="67936"/>
                        </a:lnTo>
                        <a:cubicBezTo>
                          <a:pt x="475058" y="59904"/>
                          <a:pt x="465801" y="4723"/>
                          <a:pt x="448491" y="1261"/>
                        </a:cubicBezTo>
                        <a:cubicBezTo>
                          <a:pt x="423390" y="-3759"/>
                          <a:pt x="397691" y="7611"/>
                          <a:pt x="372291" y="10786"/>
                        </a:cubicBezTo>
                        <a:cubicBezTo>
                          <a:pt x="377983" y="27863"/>
                          <a:pt x="402566" y="70181"/>
                          <a:pt x="343716" y="58411"/>
                        </a:cubicBezTo>
                        <a:cubicBezTo>
                          <a:pt x="333871" y="56442"/>
                          <a:pt x="341291" y="36936"/>
                          <a:pt x="334191" y="29836"/>
                        </a:cubicBezTo>
                        <a:cubicBezTo>
                          <a:pt x="327091" y="22736"/>
                          <a:pt x="315141" y="23486"/>
                          <a:pt x="305616" y="20311"/>
                        </a:cubicBezTo>
                        <a:cubicBezTo>
                          <a:pt x="302441" y="67936"/>
                          <a:pt x="307023" y="116724"/>
                          <a:pt x="296091" y="163186"/>
                        </a:cubicBezTo>
                        <a:cubicBezTo>
                          <a:pt x="293469" y="174329"/>
                          <a:pt x="275611" y="174141"/>
                          <a:pt x="267516" y="182236"/>
                        </a:cubicBezTo>
                        <a:cubicBezTo>
                          <a:pt x="259421" y="190331"/>
                          <a:pt x="254816" y="201286"/>
                          <a:pt x="248466" y="210811"/>
                        </a:cubicBezTo>
                        <a:cubicBezTo>
                          <a:pt x="251641" y="220336"/>
                          <a:pt x="265091" y="232286"/>
                          <a:pt x="257991" y="239386"/>
                        </a:cubicBezTo>
                        <a:cubicBezTo>
                          <a:pt x="243792" y="253585"/>
                          <a:pt x="219891" y="252086"/>
                          <a:pt x="200841" y="258436"/>
                        </a:cubicBezTo>
                        <a:cubicBezTo>
                          <a:pt x="150967" y="275061"/>
                          <a:pt x="182205" y="266541"/>
                          <a:pt x="105591" y="277486"/>
                        </a:cubicBezTo>
                        <a:cubicBezTo>
                          <a:pt x="96066" y="280661"/>
                          <a:pt x="83288" y="294851"/>
                          <a:pt x="77016" y="287011"/>
                        </a:cubicBezTo>
                        <a:cubicBezTo>
                          <a:pt x="47824" y="250521"/>
                          <a:pt x="88871" y="187100"/>
                          <a:pt x="48441" y="267961"/>
                        </a:cubicBezTo>
                        <a:cubicBezTo>
                          <a:pt x="59386" y="300796"/>
                          <a:pt x="50866" y="289436"/>
                          <a:pt x="67491" y="306061"/>
                        </a:cubicBezTo>
                      </a:path>
                    </a:pathLst>
                  </a:custGeom>
                  <a:solidFill>
                    <a:schemeClr val="accent3">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050" b="1">
                        <a:solidFill>
                          <a:schemeClr val="bg1"/>
                        </a:solidFill>
                      </a:rPr>
                      <a:t>    La Romana</a:t>
                    </a:r>
                  </a:p>
                  <a:p>
                    <a:pPr algn="ctr"/>
                    <a:r>
                      <a:rPr lang="es-ES" sz="1050" b="1">
                        <a:solidFill>
                          <a:schemeClr val="bg1"/>
                        </a:solidFill>
                      </a:rPr>
                      <a:t>84,015</a:t>
                    </a:r>
                  </a:p>
                  <a:p>
                    <a:pPr algn="ctr"/>
                    <a:r>
                      <a:rPr lang="es-ES" sz="1050" b="1">
                        <a:solidFill>
                          <a:schemeClr val="bg1"/>
                        </a:solidFill>
                      </a:rPr>
                      <a:t>2.9%</a:t>
                    </a:r>
                  </a:p>
                </xdr:txBody>
              </xdr:sp>
              <xdr:sp macro="" textlink="">
                <xdr:nvSpPr>
                  <xdr:cNvPr id="21" name="Forma libre 20"/>
                  <xdr:cNvSpPr/>
                </xdr:nvSpPr>
                <xdr:spPr>
                  <a:xfrm>
                    <a:off x="7210425" y="2428875"/>
                    <a:ext cx="1467885" cy="1885950"/>
                  </a:xfrm>
                  <a:custGeom>
                    <a:avLst/>
                    <a:gdLst>
                      <a:gd name="connsiteX0" fmla="*/ 390525 w 1467885"/>
                      <a:gd name="connsiteY0" fmla="*/ 19050 h 1885950"/>
                      <a:gd name="connsiteX1" fmla="*/ 342900 w 1467885"/>
                      <a:gd name="connsiteY1" fmla="*/ 47625 h 1885950"/>
                      <a:gd name="connsiteX2" fmla="*/ 276225 w 1467885"/>
                      <a:gd name="connsiteY2" fmla="*/ 66675 h 1885950"/>
                      <a:gd name="connsiteX3" fmla="*/ 266700 w 1467885"/>
                      <a:gd name="connsiteY3" fmla="*/ 95250 h 1885950"/>
                      <a:gd name="connsiteX4" fmla="*/ 247650 w 1467885"/>
                      <a:gd name="connsiteY4" fmla="*/ 161925 h 1885950"/>
                      <a:gd name="connsiteX5" fmla="*/ 257175 w 1467885"/>
                      <a:gd name="connsiteY5" fmla="*/ 238125 h 1885950"/>
                      <a:gd name="connsiteX6" fmla="*/ 266700 w 1467885"/>
                      <a:gd name="connsiteY6" fmla="*/ 266700 h 1885950"/>
                      <a:gd name="connsiteX7" fmla="*/ 276225 w 1467885"/>
                      <a:gd name="connsiteY7" fmla="*/ 428625 h 1885950"/>
                      <a:gd name="connsiteX8" fmla="*/ 266700 w 1467885"/>
                      <a:gd name="connsiteY8" fmla="*/ 495300 h 1885950"/>
                      <a:gd name="connsiteX9" fmla="*/ 238125 w 1467885"/>
                      <a:gd name="connsiteY9" fmla="*/ 514350 h 1885950"/>
                      <a:gd name="connsiteX10" fmla="*/ 190500 w 1467885"/>
                      <a:gd name="connsiteY10" fmla="*/ 552450 h 1885950"/>
                      <a:gd name="connsiteX11" fmla="*/ 180975 w 1467885"/>
                      <a:gd name="connsiteY11" fmla="*/ 581025 h 1885950"/>
                      <a:gd name="connsiteX12" fmla="*/ 171450 w 1467885"/>
                      <a:gd name="connsiteY12" fmla="*/ 619125 h 1885950"/>
                      <a:gd name="connsiteX13" fmla="*/ 142875 w 1467885"/>
                      <a:gd name="connsiteY13" fmla="*/ 628650 h 1885950"/>
                      <a:gd name="connsiteX14" fmla="*/ 76200 w 1467885"/>
                      <a:gd name="connsiteY14" fmla="*/ 638175 h 1885950"/>
                      <a:gd name="connsiteX15" fmla="*/ 0 w 1467885"/>
                      <a:gd name="connsiteY15" fmla="*/ 685800 h 1885950"/>
                      <a:gd name="connsiteX16" fmla="*/ 47625 w 1467885"/>
                      <a:gd name="connsiteY16" fmla="*/ 733425 h 1885950"/>
                      <a:gd name="connsiteX17" fmla="*/ 66675 w 1467885"/>
                      <a:gd name="connsiteY17" fmla="*/ 762000 h 1885950"/>
                      <a:gd name="connsiteX18" fmla="*/ 95250 w 1467885"/>
                      <a:gd name="connsiteY18" fmla="*/ 876300 h 1885950"/>
                      <a:gd name="connsiteX19" fmla="*/ 152400 w 1467885"/>
                      <a:gd name="connsiteY19" fmla="*/ 904875 h 1885950"/>
                      <a:gd name="connsiteX20" fmla="*/ 200025 w 1467885"/>
                      <a:gd name="connsiteY20" fmla="*/ 971550 h 1885950"/>
                      <a:gd name="connsiteX21" fmla="*/ 209550 w 1467885"/>
                      <a:gd name="connsiteY21" fmla="*/ 1000125 h 1885950"/>
                      <a:gd name="connsiteX22" fmla="*/ 247650 w 1467885"/>
                      <a:gd name="connsiteY22" fmla="*/ 1057275 h 1885950"/>
                      <a:gd name="connsiteX23" fmla="*/ 238125 w 1467885"/>
                      <a:gd name="connsiteY23" fmla="*/ 1190625 h 1885950"/>
                      <a:gd name="connsiteX24" fmla="*/ 209550 w 1467885"/>
                      <a:gd name="connsiteY24" fmla="*/ 1247775 h 1885950"/>
                      <a:gd name="connsiteX25" fmla="*/ 190500 w 1467885"/>
                      <a:gd name="connsiteY25" fmla="*/ 1304925 h 1885950"/>
                      <a:gd name="connsiteX26" fmla="*/ 171450 w 1467885"/>
                      <a:gd name="connsiteY26" fmla="*/ 1343025 h 1885950"/>
                      <a:gd name="connsiteX27" fmla="*/ 152400 w 1467885"/>
                      <a:gd name="connsiteY27" fmla="*/ 1409700 h 1885950"/>
                      <a:gd name="connsiteX28" fmla="*/ 142875 w 1467885"/>
                      <a:gd name="connsiteY28" fmla="*/ 1438275 h 1885950"/>
                      <a:gd name="connsiteX29" fmla="*/ 114300 w 1467885"/>
                      <a:gd name="connsiteY29" fmla="*/ 1447800 h 1885950"/>
                      <a:gd name="connsiteX30" fmla="*/ 76200 w 1467885"/>
                      <a:gd name="connsiteY30" fmla="*/ 1438275 h 1885950"/>
                      <a:gd name="connsiteX31" fmla="*/ 47625 w 1467885"/>
                      <a:gd name="connsiteY31" fmla="*/ 1428750 h 1885950"/>
                      <a:gd name="connsiteX32" fmla="*/ 142875 w 1467885"/>
                      <a:gd name="connsiteY32" fmla="*/ 1438275 h 1885950"/>
                      <a:gd name="connsiteX33" fmla="*/ 171450 w 1467885"/>
                      <a:gd name="connsiteY33" fmla="*/ 1504950 h 1885950"/>
                      <a:gd name="connsiteX34" fmla="*/ 200025 w 1467885"/>
                      <a:gd name="connsiteY34" fmla="*/ 1571625 h 1885950"/>
                      <a:gd name="connsiteX35" fmla="*/ 257175 w 1467885"/>
                      <a:gd name="connsiteY35" fmla="*/ 1609725 h 1885950"/>
                      <a:gd name="connsiteX36" fmla="*/ 314325 w 1467885"/>
                      <a:gd name="connsiteY36" fmla="*/ 1666875 h 1885950"/>
                      <a:gd name="connsiteX37" fmla="*/ 333375 w 1467885"/>
                      <a:gd name="connsiteY37" fmla="*/ 1724025 h 1885950"/>
                      <a:gd name="connsiteX38" fmla="*/ 371475 w 1467885"/>
                      <a:gd name="connsiteY38" fmla="*/ 1781175 h 1885950"/>
                      <a:gd name="connsiteX39" fmla="*/ 390525 w 1467885"/>
                      <a:gd name="connsiteY39" fmla="*/ 1809750 h 1885950"/>
                      <a:gd name="connsiteX40" fmla="*/ 438150 w 1467885"/>
                      <a:gd name="connsiteY40" fmla="*/ 1866900 h 1885950"/>
                      <a:gd name="connsiteX41" fmla="*/ 504825 w 1467885"/>
                      <a:gd name="connsiteY41" fmla="*/ 1847850 h 1885950"/>
                      <a:gd name="connsiteX42" fmla="*/ 552450 w 1467885"/>
                      <a:gd name="connsiteY42" fmla="*/ 1857375 h 1885950"/>
                      <a:gd name="connsiteX43" fmla="*/ 619125 w 1467885"/>
                      <a:gd name="connsiteY43" fmla="*/ 1876425 h 1885950"/>
                      <a:gd name="connsiteX44" fmla="*/ 657225 w 1467885"/>
                      <a:gd name="connsiteY44" fmla="*/ 1885950 h 1885950"/>
                      <a:gd name="connsiteX45" fmla="*/ 704850 w 1467885"/>
                      <a:gd name="connsiteY45" fmla="*/ 1800225 h 1885950"/>
                      <a:gd name="connsiteX46" fmla="*/ 733425 w 1467885"/>
                      <a:gd name="connsiteY46" fmla="*/ 1771650 h 1885950"/>
                      <a:gd name="connsiteX47" fmla="*/ 752475 w 1467885"/>
                      <a:gd name="connsiteY47" fmla="*/ 1743075 h 1885950"/>
                      <a:gd name="connsiteX48" fmla="*/ 762000 w 1467885"/>
                      <a:gd name="connsiteY48" fmla="*/ 1657350 h 1885950"/>
                      <a:gd name="connsiteX49" fmla="*/ 809625 w 1467885"/>
                      <a:gd name="connsiteY49" fmla="*/ 1600200 h 1885950"/>
                      <a:gd name="connsiteX50" fmla="*/ 800100 w 1467885"/>
                      <a:gd name="connsiteY50" fmla="*/ 1504950 h 1885950"/>
                      <a:gd name="connsiteX51" fmla="*/ 771525 w 1467885"/>
                      <a:gd name="connsiteY51" fmla="*/ 1476375 h 1885950"/>
                      <a:gd name="connsiteX52" fmla="*/ 742950 w 1467885"/>
                      <a:gd name="connsiteY52" fmla="*/ 1466850 h 1885950"/>
                      <a:gd name="connsiteX53" fmla="*/ 819150 w 1467885"/>
                      <a:gd name="connsiteY53" fmla="*/ 1485900 h 1885950"/>
                      <a:gd name="connsiteX54" fmla="*/ 838200 w 1467885"/>
                      <a:gd name="connsiteY54" fmla="*/ 1514475 h 1885950"/>
                      <a:gd name="connsiteX55" fmla="*/ 971550 w 1467885"/>
                      <a:gd name="connsiteY55" fmla="*/ 1543050 h 1885950"/>
                      <a:gd name="connsiteX56" fmla="*/ 1028700 w 1467885"/>
                      <a:gd name="connsiteY56" fmla="*/ 1562100 h 1885950"/>
                      <a:gd name="connsiteX57" fmla="*/ 1057275 w 1467885"/>
                      <a:gd name="connsiteY57" fmla="*/ 1571625 h 1885950"/>
                      <a:gd name="connsiteX58" fmla="*/ 1152525 w 1467885"/>
                      <a:gd name="connsiteY58" fmla="*/ 1552575 h 1885950"/>
                      <a:gd name="connsiteX59" fmla="*/ 1162050 w 1467885"/>
                      <a:gd name="connsiteY59" fmla="*/ 1524000 h 1885950"/>
                      <a:gd name="connsiteX60" fmla="*/ 1181100 w 1467885"/>
                      <a:gd name="connsiteY60" fmla="*/ 1495425 h 1885950"/>
                      <a:gd name="connsiteX61" fmla="*/ 1171575 w 1467885"/>
                      <a:gd name="connsiteY61" fmla="*/ 1419225 h 1885950"/>
                      <a:gd name="connsiteX62" fmla="*/ 1152525 w 1467885"/>
                      <a:gd name="connsiteY62" fmla="*/ 1390650 h 1885950"/>
                      <a:gd name="connsiteX63" fmla="*/ 1143000 w 1467885"/>
                      <a:gd name="connsiteY63" fmla="*/ 1362075 h 1885950"/>
                      <a:gd name="connsiteX64" fmla="*/ 1162050 w 1467885"/>
                      <a:gd name="connsiteY64" fmla="*/ 1333500 h 1885950"/>
                      <a:gd name="connsiteX65" fmla="*/ 1247775 w 1467885"/>
                      <a:gd name="connsiteY65" fmla="*/ 1304925 h 1885950"/>
                      <a:gd name="connsiteX66" fmla="*/ 1266825 w 1467885"/>
                      <a:gd name="connsiteY66" fmla="*/ 1276350 h 1885950"/>
                      <a:gd name="connsiteX67" fmla="*/ 1276350 w 1467885"/>
                      <a:gd name="connsiteY67" fmla="*/ 1209675 h 1885950"/>
                      <a:gd name="connsiteX68" fmla="*/ 1285875 w 1467885"/>
                      <a:gd name="connsiteY68" fmla="*/ 1181100 h 1885950"/>
                      <a:gd name="connsiteX69" fmla="*/ 1343025 w 1467885"/>
                      <a:gd name="connsiteY69" fmla="*/ 1143000 h 1885950"/>
                      <a:gd name="connsiteX70" fmla="*/ 1362075 w 1467885"/>
                      <a:gd name="connsiteY70" fmla="*/ 1114425 h 1885950"/>
                      <a:gd name="connsiteX71" fmla="*/ 1381125 w 1467885"/>
                      <a:gd name="connsiteY71" fmla="*/ 1009650 h 1885950"/>
                      <a:gd name="connsiteX72" fmla="*/ 1428750 w 1467885"/>
                      <a:gd name="connsiteY72" fmla="*/ 962025 h 1885950"/>
                      <a:gd name="connsiteX73" fmla="*/ 1466850 w 1467885"/>
                      <a:gd name="connsiteY73" fmla="*/ 904875 h 1885950"/>
                      <a:gd name="connsiteX74" fmla="*/ 1428750 w 1467885"/>
                      <a:gd name="connsiteY74" fmla="*/ 819150 h 1885950"/>
                      <a:gd name="connsiteX75" fmla="*/ 1343025 w 1467885"/>
                      <a:gd name="connsiteY75" fmla="*/ 781050 h 1885950"/>
                      <a:gd name="connsiteX76" fmla="*/ 1314450 w 1467885"/>
                      <a:gd name="connsiteY76" fmla="*/ 771525 h 1885950"/>
                      <a:gd name="connsiteX77" fmla="*/ 1266825 w 1467885"/>
                      <a:gd name="connsiteY77" fmla="*/ 714375 h 1885950"/>
                      <a:gd name="connsiteX78" fmla="*/ 1257300 w 1467885"/>
                      <a:gd name="connsiteY78" fmla="*/ 685800 h 1885950"/>
                      <a:gd name="connsiteX79" fmla="*/ 1162050 w 1467885"/>
                      <a:gd name="connsiteY79" fmla="*/ 638175 h 1885950"/>
                      <a:gd name="connsiteX80" fmla="*/ 1076325 w 1467885"/>
                      <a:gd name="connsiteY80" fmla="*/ 561975 h 1885950"/>
                      <a:gd name="connsiteX81" fmla="*/ 1047750 w 1467885"/>
                      <a:gd name="connsiteY81" fmla="*/ 552450 h 1885950"/>
                      <a:gd name="connsiteX82" fmla="*/ 1019175 w 1467885"/>
                      <a:gd name="connsiteY82" fmla="*/ 533400 h 1885950"/>
                      <a:gd name="connsiteX83" fmla="*/ 990600 w 1467885"/>
                      <a:gd name="connsiteY83" fmla="*/ 523875 h 1885950"/>
                      <a:gd name="connsiteX84" fmla="*/ 933450 w 1467885"/>
                      <a:gd name="connsiteY84" fmla="*/ 485775 h 1885950"/>
                      <a:gd name="connsiteX85" fmla="*/ 904875 w 1467885"/>
                      <a:gd name="connsiteY85" fmla="*/ 466725 h 1885950"/>
                      <a:gd name="connsiteX86" fmla="*/ 885825 w 1467885"/>
                      <a:gd name="connsiteY86" fmla="*/ 428625 h 1885950"/>
                      <a:gd name="connsiteX87" fmla="*/ 857250 w 1467885"/>
                      <a:gd name="connsiteY87" fmla="*/ 361950 h 1885950"/>
                      <a:gd name="connsiteX88" fmla="*/ 762000 w 1467885"/>
                      <a:gd name="connsiteY88" fmla="*/ 285750 h 1885950"/>
                      <a:gd name="connsiteX89" fmla="*/ 704850 w 1467885"/>
                      <a:gd name="connsiteY89" fmla="*/ 257175 h 1885950"/>
                      <a:gd name="connsiteX90" fmla="*/ 657225 w 1467885"/>
                      <a:gd name="connsiteY90" fmla="*/ 200025 h 1885950"/>
                      <a:gd name="connsiteX91" fmla="*/ 600075 w 1467885"/>
                      <a:gd name="connsiteY91" fmla="*/ 171450 h 1885950"/>
                      <a:gd name="connsiteX92" fmla="*/ 542925 w 1467885"/>
                      <a:gd name="connsiteY92" fmla="*/ 142875 h 1885950"/>
                      <a:gd name="connsiteX93" fmla="*/ 485775 w 1467885"/>
                      <a:gd name="connsiteY93" fmla="*/ 104775 h 1885950"/>
                      <a:gd name="connsiteX94" fmla="*/ 428625 w 1467885"/>
                      <a:gd name="connsiteY94" fmla="*/ 66675 h 1885950"/>
                      <a:gd name="connsiteX95" fmla="*/ 409575 w 1467885"/>
                      <a:gd name="connsiteY95" fmla="*/ 38100 h 1885950"/>
                      <a:gd name="connsiteX96" fmla="*/ 352425 w 1467885"/>
                      <a:gd name="connsiteY96" fmla="*/ 0 h 1885950"/>
                      <a:gd name="connsiteX97" fmla="*/ 342900 w 1467885"/>
                      <a:gd name="connsiteY97" fmla="*/ 28575 h 1885950"/>
                      <a:gd name="connsiteX98" fmla="*/ 390525 w 1467885"/>
                      <a:gd name="connsiteY98" fmla="*/ 19050 h 18859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Lst>
                    <a:rect l="l" t="t" r="r" b="b"/>
                    <a:pathLst>
                      <a:path w="1467885" h="1885950">
                        <a:moveTo>
                          <a:pt x="390525" y="19050"/>
                        </a:moveTo>
                        <a:cubicBezTo>
                          <a:pt x="390525" y="22225"/>
                          <a:pt x="359459" y="39346"/>
                          <a:pt x="342900" y="47625"/>
                        </a:cubicBezTo>
                        <a:cubicBezTo>
                          <a:pt x="329235" y="54457"/>
                          <a:pt x="288432" y="63623"/>
                          <a:pt x="276225" y="66675"/>
                        </a:cubicBezTo>
                        <a:cubicBezTo>
                          <a:pt x="273050" y="76200"/>
                          <a:pt x="269458" y="85596"/>
                          <a:pt x="266700" y="95250"/>
                        </a:cubicBezTo>
                        <a:cubicBezTo>
                          <a:pt x="242780" y="178971"/>
                          <a:pt x="270488" y="93412"/>
                          <a:pt x="247650" y="161925"/>
                        </a:cubicBezTo>
                        <a:cubicBezTo>
                          <a:pt x="250825" y="187325"/>
                          <a:pt x="252596" y="212940"/>
                          <a:pt x="257175" y="238125"/>
                        </a:cubicBezTo>
                        <a:cubicBezTo>
                          <a:pt x="258971" y="248003"/>
                          <a:pt x="265701" y="256710"/>
                          <a:pt x="266700" y="266700"/>
                        </a:cubicBezTo>
                        <a:cubicBezTo>
                          <a:pt x="272080" y="320500"/>
                          <a:pt x="273050" y="374650"/>
                          <a:pt x="276225" y="428625"/>
                        </a:cubicBezTo>
                        <a:cubicBezTo>
                          <a:pt x="273050" y="450850"/>
                          <a:pt x="275818" y="474784"/>
                          <a:pt x="266700" y="495300"/>
                        </a:cubicBezTo>
                        <a:cubicBezTo>
                          <a:pt x="262051" y="505761"/>
                          <a:pt x="246220" y="506255"/>
                          <a:pt x="238125" y="514350"/>
                        </a:cubicBezTo>
                        <a:cubicBezTo>
                          <a:pt x="195041" y="557434"/>
                          <a:pt x="246130" y="533907"/>
                          <a:pt x="190500" y="552450"/>
                        </a:cubicBezTo>
                        <a:cubicBezTo>
                          <a:pt x="187325" y="561975"/>
                          <a:pt x="183733" y="571371"/>
                          <a:pt x="180975" y="581025"/>
                        </a:cubicBezTo>
                        <a:cubicBezTo>
                          <a:pt x="177379" y="593612"/>
                          <a:pt x="179628" y="608903"/>
                          <a:pt x="171450" y="619125"/>
                        </a:cubicBezTo>
                        <a:cubicBezTo>
                          <a:pt x="165178" y="626965"/>
                          <a:pt x="152720" y="626681"/>
                          <a:pt x="142875" y="628650"/>
                        </a:cubicBezTo>
                        <a:cubicBezTo>
                          <a:pt x="120860" y="633053"/>
                          <a:pt x="98425" y="635000"/>
                          <a:pt x="76200" y="638175"/>
                        </a:cubicBezTo>
                        <a:cubicBezTo>
                          <a:pt x="8190" y="660845"/>
                          <a:pt x="30189" y="640517"/>
                          <a:pt x="0" y="685800"/>
                        </a:cubicBezTo>
                        <a:cubicBezTo>
                          <a:pt x="50800" y="762000"/>
                          <a:pt x="-15875" y="669925"/>
                          <a:pt x="47625" y="733425"/>
                        </a:cubicBezTo>
                        <a:cubicBezTo>
                          <a:pt x="55720" y="741520"/>
                          <a:pt x="60325" y="752475"/>
                          <a:pt x="66675" y="762000"/>
                        </a:cubicBezTo>
                        <a:cubicBezTo>
                          <a:pt x="68115" y="770641"/>
                          <a:pt x="81931" y="871860"/>
                          <a:pt x="95250" y="876300"/>
                        </a:cubicBezTo>
                        <a:cubicBezTo>
                          <a:pt x="134685" y="889445"/>
                          <a:pt x="115471" y="880256"/>
                          <a:pt x="152400" y="904875"/>
                        </a:cubicBezTo>
                        <a:cubicBezTo>
                          <a:pt x="174625" y="971550"/>
                          <a:pt x="152400" y="955675"/>
                          <a:pt x="200025" y="971550"/>
                        </a:cubicBezTo>
                        <a:cubicBezTo>
                          <a:pt x="203200" y="981075"/>
                          <a:pt x="204674" y="991348"/>
                          <a:pt x="209550" y="1000125"/>
                        </a:cubicBezTo>
                        <a:cubicBezTo>
                          <a:pt x="220669" y="1020139"/>
                          <a:pt x="247650" y="1057275"/>
                          <a:pt x="247650" y="1057275"/>
                        </a:cubicBezTo>
                        <a:cubicBezTo>
                          <a:pt x="244475" y="1101725"/>
                          <a:pt x="243332" y="1146367"/>
                          <a:pt x="238125" y="1190625"/>
                        </a:cubicBezTo>
                        <a:cubicBezTo>
                          <a:pt x="233956" y="1226057"/>
                          <a:pt x="223934" y="1215410"/>
                          <a:pt x="209550" y="1247775"/>
                        </a:cubicBezTo>
                        <a:cubicBezTo>
                          <a:pt x="201395" y="1266125"/>
                          <a:pt x="199480" y="1286964"/>
                          <a:pt x="190500" y="1304925"/>
                        </a:cubicBezTo>
                        <a:cubicBezTo>
                          <a:pt x="184150" y="1317625"/>
                          <a:pt x="177043" y="1329974"/>
                          <a:pt x="171450" y="1343025"/>
                        </a:cubicBezTo>
                        <a:cubicBezTo>
                          <a:pt x="161662" y="1365863"/>
                          <a:pt x="159305" y="1385533"/>
                          <a:pt x="152400" y="1409700"/>
                        </a:cubicBezTo>
                        <a:cubicBezTo>
                          <a:pt x="149642" y="1419354"/>
                          <a:pt x="149975" y="1431175"/>
                          <a:pt x="142875" y="1438275"/>
                        </a:cubicBezTo>
                        <a:cubicBezTo>
                          <a:pt x="135775" y="1445375"/>
                          <a:pt x="123825" y="1444625"/>
                          <a:pt x="114300" y="1447800"/>
                        </a:cubicBezTo>
                        <a:cubicBezTo>
                          <a:pt x="101600" y="1444625"/>
                          <a:pt x="88787" y="1441871"/>
                          <a:pt x="76200" y="1438275"/>
                        </a:cubicBezTo>
                        <a:cubicBezTo>
                          <a:pt x="66546" y="1435517"/>
                          <a:pt x="37585" y="1428750"/>
                          <a:pt x="47625" y="1428750"/>
                        </a:cubicBezTo>
                        <a:cubicBezTo>
                          <a:pt x="79533" y="1428750"/>
                          <a:pt x="111125" y="1435100"/>
                          <a:pt x="142875" y="1438275"/>
                        </a:cubicBezTo>
                        <a:cubicBezTo>
                          <a:pt x="162699" y="1517569"/>
                          <a:pt x="138561" y="1439171"/>
                          <a:pt x="171450" y="1504950"/>
                        </a:cubicBezTo>
                        <a:cubicBezTo>
                          <a:pt x="182835" y="1527720"/>
                          <a:pt x="180205" y="1551805"/>
                          <a:pt x="200025" y="1571625"/>
                        </a:cubicBezTo>
                        <a:cubicBezTo>
                          <a:pt x="216214" y="1587814"/>
                          <a:pt x="240986" y="1593536"/>
                          <a:pt x="257175" y="1609725"/>
                        </a:cubicBezTo>
                        <a:lnTo>
                          <a:pt x="314325" y="1666875"/>
                        </a:lnTo>
                        <a:cubicBezTo>
                          <a:pt x="320675" y="1685925"/>
                          <a:pt x="322236" y="1707317"/>
                          <a:pt x="333375" y="1724025"/>
                        </a:cubicBezTo>
                        <a:lnTo>
                          <a:pt x="371475" y="1781175"/>
                        </a:lnTo>
                        <a:cubicBezTo>
                          <a:pt x="377825" y="1790700"/>
                          <a:pt x="382430" y="1801655"/>
                          <a:pt x="390525" y="1809750"/>
                        </a:cubicBezTo>
                        <a:cubicBezTo>
                          <a:pt x="427195" y="1846420"/>
                          <a:pt x="411628" y="1827117"/>
                          <a:pt x="438150" y="1866900"/>
                        </a:cubicBezTo>
                        <a:cubicBezTo>
                          <a:pt x="451625" y="1862408"/>
                          <a:pt x="492865" y="1847850"/>
                          <a:pt x="504825" y="1847850"/>
                        </a:cubicBezTo>
                        <a:cubicBezTo>
                          <a:pt x="521014" y="1847850"/>
                          <a:pt x="536646" y="1853863"/>
                          <a:pt x="552450" y="1857375"/>
                        </a:cubicBezTo>
                        <a:cubicBezTo>
                          <a:pt x="619448" y="1872263"/>
                          <a:pt x="563438" y="1860514"/>
                          <a:pt x="619125" y="1876425"/>
                        </a:cubicBezTo>
                        <a:cubicBezTo>
                          <a:pt x="631712" y="1880021"/>
                          <a:pt x="644525" y="1882775"/>
                          <a:pt x="657225" y="1885950"/>
                        </a:cubicBezTo>
                        <a:cubicBezTo>
                          <a:pt x="732132" y="1867223"/>
                          <a:pt x="670289" y="1895268"/>
                          <a:pt x="704850" y="1800225"/>
                        </a:cubicBezTo>
                        <a:cubicBezTo>
                          <a:pt x="709453" y="1787566"/>
                          <a:pt x="724801" y="1781998"/>
                          <a:pt x="733425" y="1771650"/>
                        </a:cubicBezTo>
                        <a:cubicBezTo>
                          <a:pt x="740754" y="1762856"/>
                          <a:pt x="746125" y="1752600"/>
                          <a:pt x="752475" y="1743075"/>
                        </a:cubicBezTo>
                        <a:cubicBezTo>
                          <a:pt x="755650" y="1714500"/>
                          <a:pt x="755027" y="1685242"/>
                          <a:pt x="762000" y="1657350"/>
                        </a:cubicBezTo>
                        <a:cubicBezTo>
                          <a:pt x="766420" y="1639669"/>
                          <a:pt x="798962" y="1610863"/>
                          <a:pt x="809625" y="1600200"/>
                        </a:cubicBezTo>
                        <a:cubicBezTo>
                          <a:pt x="806450" y="1568450"/>
                          <a:pt x="809484" y="1535447"/>
                          <a:pt x="800100" y="1504950"/>
                        </a:cubicBezTo>
                        <a:cubicBezTo>
                          <a:pt x="796139" y="1492075"/>
                          <a:pt x="782733" y="1483847"/>
                          <a:pt x="771525" y="1476375"/>
                        </a:cubicBezTo>
                        <a:cubicBezTo>
                          <a:pt x="763171" y="1470806"/>
                          <a:pt x="732910" y="1466850"/>
                          <a:pt x="742950" y="1466850"/>
                        </a:cubicBezTo>
                        <a:cubicBezTo>
                          <a:pt x="765938" y="1466850"/>
                          <a:pt x="796601" y="1478384"/>
                          <a:pt x="819150" y="1485900"/>
                        </a:cubicBezTo>
                        <a:cubicBezTo>
                          <a:pt x="825500" y="1495425"/>
                          <a:pt x="830105" y="1506380"/>
                          <a:pt x="838200" y="1514475"/>
                        </a:cubicBezTo>
                        <a:cubicBezTo>
                          <a:pt x="874778" y="1551053"/>
                          <a:pt x="920247" y="1538386"/>
                          <a:pt x="971550" y="1543050"/>
                        </a:cubicBezTo>
                        <a:lnTo>
                          <a:pt x="1028700" y="1562100"/>
                        </a:lnTo>
                        <a:lnTo>
                          <a:pt x="1057275" y="1571625"/>
                        </a:lnTo>
                        <a:cubicBezTo>
                          <a:pt x="1089025" y="1565275"/>
                          <a:pt x="1123048" y="1565973"/>
                          <a:pt x="1152525" y="1552575"/>
                        </a:cubicBezTo>
                        <a:cubicBezTo>
                          <a:pt x="1161665" y="1548420"/>
                          <a:pt x="1157560" y="1532980"/>
                          <a:pt x="1162050" y="1524000"/>
                        </a:cubicBezTo>
                        <a:cubicBezTo>
                          <a:pt x="1167170" y="1513761"/>
                          <a:pt x="1174750" y="1504950"/>
                          <a:pt x="1181100" y="1495425"/>
                        </a:cubicBezTo>
                        <a:cubicBezTo>
                          <a:pt x="1177925" y="1470025"/>
                          <a:pt x="1178310" y="1443921"/>
                          <a:pt x="1171575" y="1419225"/>
                        </a:cubicBezTo>
                        <a:cubicBezTo>
                          <a:pt x="1168563" y="1408181"/>
                          <a:pt x="1157645" y="1400889"/>
                          <a:pt x="1152525" y="1390650"/>
                        </a:cubicBezTo>
                        <a:cubicBezTo>
                          <a:pt x="1148035" y="1381670"/>
                          <a:pt x="1146175" y="1371600"/>
                          <a:pt x="1143000" y="1362075"/>
                        </a:cubicBezTo>
                        <a:cubicBezTo>
                          <a:pt x="1149350" y="1352550"/>
                          <a:pt x="1152000" y="1338982"/>
                          <a:pt x="1162050" y="1333500"/>
                        </a:cubicBezTo>
                        <a:cubicBezTo>
                          <a:pt x="1188493" y="1319077"/>
                          <a:pt x="1247775" y="1304925"/>
                          <a:pt x="1247775" y="1304925"/>
                        </a:cubicBezTo>
                        <a:cubicBezTo>
                          <a:pt x="1254125" y="1295400"/>
                          <a:pt x="1263536" y="1287315"/>
                          <a:pt x="1266825" y="1276350"/>
                        </a:cubicBezTo>
                        <a:cubicBezTo>
                          <a:pt x="1273276" y="1254846"/>
                          <a:pt x="1271947" y="1231690"/>
                          <a:pt x="1276350" y="1209675"/>
                        </a:cubicBezTo>
                        <a:cubicBezTo>
                          <a:pt x="1278319" y="1199830"/>
                          <a:pt x="1278775" y="1188200"/>
                          <a:pt x="1285875" y="1181100"/>
                        </a:cubicBezTo>
                        <a:cubicBezTo>
                          <a:pt x="1302064" y="1164911"/>
                          <a:pt x="1343025" y="1143000"/>
                          <a:pt x="1343025" y="1143000"/>
                        </a:cubicBezTo>
                        <a:cubicBezTo>
                          <a:pt x="1349375" y="1133475"/>
                          <a:pt x="1356955" y="1124664"/>
                          <a:pt x="1362075" y="1114425"/>
                        </a:cubicBezTo>
                        <a:cubicBezTo>
                          <a:pt x="1380107" y="1078362"/>
                          <a:pt x="1369305" y="1052991"/>
                          <a:pt x="1381125" y="1009650"/>
                        </a:cubicBezTo>
                        <a:cubicBezTo>
                          <a:pt x="1388181" y="983780"/>
                          <a:pt x="1408994" y="975195"/>
                          <a:pt x="1428750" y="962025"/>
                        </a:cubicBezTo>
                        <a:cubicBezTo>
                          <a:pt x="1441450" y="942975"/>
                          <a:pt x="1474090" y="926595"/>
                          <a:pt x="1466850" y="904875"/>
                        </a:cubicBezTo>
                        <a:cubicBezTo>
                          <a:pt x="1457419" y="876581"/>
                          <a:pt x="1451391" y="841791"/>
                          <a:pt x="1428750" y="819150"/>
                        </a:cubicBezTo>
                        <a:cubicBezTo>
                          <a:pt x="1406109" y="796509"/>
                          <a:pt x="1371319" y="790481"/>
                          <a:pt x="1343025" y="781050"/>
                        </a:cubicBezTo>
                        <a:lnTo>
                          <a:pt x="1314450" y="771525"/>
                        </a:lnTo>
                        <a:cubicBezTo>
                          <a:pt x="1293384" y="750459"/>
                          <a:pt x="1280086" y="740897"/>
                          <a:pt x="1266825" y="714375"/>
                        </a:cubicBezTo>
                        <a:cubicBezTo>
                          <a:pt x="1262335" y="705395"/>
                          <a:pt x="1264400" y="692900"/>
                          <a:pt x="1257300" y="685800"/>
                        </a:cubicBezTo>
                        <a:cubicBezTo>
                          <a:pt x="1219499" y="647999"/>
                          <a:pt x="1205071" y="648930"/>
                          <a:pt x="1162050" y="638175"/>
                        </a:cubicBezTo>
                        <a:cubicBezTo>
                          <a:pt x="1136806" y="612931"/>
                          <a:pt x="1110319" y="578972"/>
                          <a:pt x="1076325" y="561975"/>
                        </a:cubicBezTo>
                        <a:cubicBezTo>
                          <a:pt x="1067345" y="557485"/>
                          <a:pt x="1056730" y="556940"/>
                          <a:pt x="1047750" y="552450"/>
                        </a:cubicBezTo>
                        <a:cubicBezTo>
                          <a:pt x="1037511" y="547330"/>
                          <a:pt x="1029414" y="538520"/>
                          <a:pt x="1019175" y="533400"/>
                        </a:cubicBezTo>
                        <a:cubicBezTo>
                          <a:pt x="1010195" y="528910"/>
                          <a:pt x="999377" y="528751"/>
                          <a:pt x="990600" y="523875"/>
                        </a:cubicBezTo>
                        <a:cubicBezTo>
                          <a:pt x="970586" y="512756"/>
                          <a:pt x="952500" y="498475"/>
                          <a:pt x="933450" y="485775"/>
                        </a:cubicBezTo>
                        <a:lnTo>
                          <a:pt x="904875" y="466725"/>
                        </a:lnTo>
                        <a:cubicBezTo>
                          <a:pt x="898525" y="454025"/>
                          <a:pt x="891418" y="441676"/>
                          <a:pt x="885825" y="428625"/>
                        </a:cubicBezTo>
                        <a:cubicBezTo>
                          <a:pt x="873563" y="400015"/>
                          <a:pt x="878310" y="390030"/>
                          <a:pt x="857250" y="361950"/>
                        </a:cubicBezTo>
                        <a:cubicBezTo>
                          <a:pt x="839909" y="338828"/>
                          <a:pt x="786994" y="294081"/>
                          <a:pt x="762000" y="285750"/>
                        </a:cubicBezTo>
                        <a:cubicBezTo>
                          <a:pt x="733361" y="276204"/>
                          <a:pt x="729469" y="277691"/>
                          <a:pt x="704850" y="257175"/>
                        </a:cubicBezTo>
                        <a:cubicBezTo>
                          <a:pt x="611225" y="179154"/>
                          <a:pt x="732150" y="274950"/>
                          <a:pt x="657225" y="200025"/>
                        </a:cubicBezTo>
                        <a:cubicBezTo>
                          <a:pt x="629928" y="172728"/>
                          <a:pt x="631063" y="186944"/>
                          <a:pt x="600075" y="171450"/>
                        </a:cubicBezTo>
                        <a:cubicBezTo>
                          <a:pt x="526217" y="134521"/>
                          <a:pt x="614749" y="166816"/>
                          <a:pt x="542925" y="142875"/>
                        </a:cubicBezTo>
                        <a:cubicBezTo>
                          <a:pt x="479509" y="79459"/>
                          <a:pt x="547806" y="139237"/>
                          <a:pt x="485775" y="104775"/>
                        </a:cubicBezTo>
                        <a:cubicBezTo>
                          <a:pt x="465761" y="93656"/>
                          <a:pt x="428625" y="66675"/>
                          <a:pt x="428625" y="66675"/>
                        </a:cubicBezTo>
                        <a:cubicBezTo>
                          <a:pt x="422275" y="57150"/>
                          <a:pt x="418190" y="45638"/>
                          <a:pt x="409575" y="38100"/>
                        </a:cubicBezTo>
                        <a:cubicBezTo>
                          <a:pt x="392345" y="23023"/>
                          <a:pt x="352425" y="0"/>
                          <a:pt x="352425" y="0"/>
                        </a:cubicBezTo>
                        <a:cubicBezTo>
                          <a:pt x="349250" y="9525"/>
                          <a:pt x="338410" y="19595"/>
                          <a:pt x="342900" y="28575"/>
                        </a:cubicBezTo>
                        <a:cubicBezTo>
                          <a:pt x="348667" y="40108"/>
                          <a:pt x="390525" y="15875"/>
                          <a:pt x="390525" y="19050"/>
                        </a:cubicBezTo>
                        <a:close/>
                      </a:path>
                    </a:pathLst>
                  </a:cu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a:solidFill>
                          <a:sysClr val="windowText" lastClr="000000"/>
                        </a:solidFill>
                      </a:rPr>
                      <a:t>La Altagracia</a:t>
                    </a:r>
                  </a:p>
                  <a:p>
                    <a:pPr algn="ctr"/>
                    <a:r>
                      <a:rPr lang="es-ES" sz="1100" b="1">
                        <a:solidFill>
                          <a:sysClr val="windowText" lastClr="000000"/>
                        </a:solidFill>
                      </a:rPr>
                      <a:t>55,199</a:t>
                    </a:r>
                  </a:p>
                  <a:p>
                    <a:pPr algn="ctr"/>
                    <a:r>
                      <a:rPr lang="es-ES" sz="1100" b="1">
                        <a:solidFill>
                          <a:sysClr val="windowText" lastClr="000000"/>
                        </a:solidFill>
                      </a:rPr>
                      <a:t>1.9%</a:t>
                    </a:r>
                  </a:p>
                </xdr:txBody>
              </xdr:sp>
            </xdr:grpSp>
          </xdr:grpSp>
        </xdr:grpSp>
        <xdr:sp macro="" textlink="">
          <xdr:nvSpPr>
            <xdr:cNvPr id="8" name="Forma libre 7"/>
            <xdr:cNvSpPr/>
          </xdr:nvSpPr>
          <xdr:spPr>
            <a:xfrm>
              <a:off x="7579742" y="4326115"/>
              <a:ext cx="505084" cy="236414"/>
            </a:xfrm>
            <a:custGeom>
              <a:avLst/>
              <a:gdLst>
                <a:gd name="connsiteX0" fmla="*/ 487933 w 505084"/>
                <a:gd name="connsiteY0" fmla="*/ 236360 h 236414"/>
                <a:gd name="connsiteX1" fmla="*/ 497458 w 505084"/>
                <a:gd name="connsiteY1" fmla="*/ 188735 h 236414"/>
                <a:gd name="connsiteX2" fmla="*/ 430783 w 505084"/>
                <a:gd name="connsiteY2" fmla="*/ 103010 h 236414"/>
                <a:gd name="connsiteX3" fmla="*/ 402208 w 505084"/>
                <a:gd name="connsiteY3" fmla="*/ 93485 h 236414"/>
                <a:gd name="connsiteX4" fmla="*/ 259333 w 505084"/>
                <a:gd name="connsiteY4" fmla="*/ 64910 h 236414"/>
                <a:gd name="connsiteX5" fmla="*/ 230758 w 505084"/>
                <a:gd name="connsiteY5" fmla="*/ 74435 h 236414"/>
                <a:gd name="connsiteX6" fmla="*/ 202183 w 505084"/>
                <a:gd name="connsiteY6" fmla="*/ 93485 h 236414"/>
                <a:gd name="connsiteX7" fmla="*/ 183133 w 505084"/>
                <a:gd name="connsiteY7" fmla="*/ 64910 h 236414"/>
                <a:gd name="connsiteX8" fmla="*/ 154558 w 505084"/>
                <a:gd name="connsiteY8" fmla="*/ 55385 h 236414"/>
                <a:gd name="connsiteX9" fmla="*/ 87883 w 505084"/>
                <a:gd name="connsiteY9" fmla="*/ 26810 h 236414"/>
                <a:gd name="connsiteX10" fmla="*/ 2158 w 505084"/>
                <a:gd name="connsiteY10" fmla="*/ 17285 h 236414"/>
                <a:gd name="connsiteX11" fmla="*/ 21208 w 505084"/>
                <a:gd name="connsiteY11" fmla="*/ 55385 h 236414"/>
                <a:gd name="connsiteX12" fmla="*/ 78358 w 505084"/>
                <a:gd name="connsiteY12" fmla="*/ 112535 h 236414"/>
                <a:gd name="connsiteX13" fmla="*/ 87883 w 505084"/>
                <a:gd name="connsiteY13" fmla="*/ 160160 h 236414"/>
                <a:gd name="connsiteX14" fmla="*/ 145033 w 505084"/>
                <a:gd name="connsiteY14" fmla="*/ 179210 h 236414"/>
                <a:gd name="connsiteX15" fmla="*/ 173608 w 505084"/>
                <a:gd name="connsiteY15" fmla="*/ 198260 h 236414"/>
                <a:gd name="connsiteX16" fmla="*/ 230758 w 505084"/>
                <a:gd name="connsiteY16" fmla="*/ 217310 h 236414"/>
                <a:gd name="connsiteX17" fmla="*/ 297433 w 505084"/>
                <a:gd name="connsiteY17" fmla="*/ 188735 h 236414"/>
                <a:gd name="connsiteX18" fmla="*/ 326008 w 505084"/>
                <a:gd name="connsiteY18" fmla="*/ 179210 h 236414"/>
                <a:gd name="connsiteX19" fmla="*/ 487933 w 505084"/>
                <a:gd name="connsiteY19" fmla="*/ 236360 h 2364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505084" h="236414">
                  <a:moveTo>
                    <a:pt x="487933" y="236360"/>
                  </a:moveTo>
                  <a:cubicBezTo>
                    <a:pt x="516508" y="237948"/>
                    <a:pt x="501718" y="204354"/>
                    <a:pt x="497458" y="188735"/>
                  </a:cubicBezTo>
                  <a:cubicBezTo>
                    <a:pt x="493253" y="173317"/>
                    <a:pt x="451209" y="116627"/>
                    <a:pt x="430783" y="103010"/>
                  </a:cubicBezTo>
                  <a:cubicBezTo>
                    <a:pt x="422429" y="97441"/>
                    <a:pt x="412053" y="95454"/>
                    <a:pt x="402208" y="93485"/>
                  </a:cubicBezTo>
                  <a:cubicBezTo>
                    <a:pt x="246953" y="62434"/>
                    <a:pt x="332623" y="89340"/>
                    <a:pt x="259333" y="64910"/>
                  </a:cubicBezTo>
                  <a:cubicBezTo>
                    <a:pt x="249808" y="68085"/>
                    <a:pt x="239738" y="69945"/>
                    <a:pt x="230758" y="74435"/>
                  </a:cubicBezTo>
                  <a:cubicBezTo>
                    <a:pt x="220519" y="79555"/>
                    <a:pt x="213408" y="95730"/>
                    <a:pt x="202183" y="93485"/>
                  </a:cubicBezTo>
                  <a:cubicBezTo>
                    <a:pt x="190958" y="91240"/>
                    <a:pt x="192072" y="72061"/>
                    <a:pt x="183133" y="64910"/>
                  </a:cubicBezTo>
                  <a:cubicBezTo>
                    <a:pt x="175293" y="58638"/>
                    <a:pt x="163538" y="59875"/>
                    <a:pt x="154558" y="55385"/>
                  </a:cubicBezTo>
                  <a:cubicBezTo>
                    <a:pt x="88779" y="22496"/>
                    <a:pt x="167177" y="46634"/>
                    <a:pt x="87883" y="26810"/>
                  </a:cubicBezTo>
                  <a:cubicBezTo>
                    <a:pt x="66169" y="12334"/>
                    <a:pt x="31915" y="-19912"/>
                    <a:pt x="2158" y="17285"/>
                  </a:cubicBezTo>
                  <a:cubicBezTo>
                    <a:pt x="-6712" y="28373"/>
                    <a:pt x="14163" y="43057"/>
                    <a:pt x="21208" y="55385"/>
                  </a:cubicBezTo>
                  <a:cubicBezTo>
                    <a:pt x="42100" y="91946"/>
                    <a:pt x="40757" y="84334"/>
                    <a:pt x="78358" y="112535"/>
                  </a:cubicBezTo>
                  <a:cubicBezTo>
                    <a:pt x="81533" y="128410"/>
                    <a:pt x="76435" y="148712"/>
                    <a:pt x="87883" y="160160"/>
                  </a:cubicBezTo>
                  <a:cubicBezTo>
                    <a:pt x="102082" y="174359"/>
                    <a:pt x="128325" y="168071"/>
                    <a:pt x="145033" y="179210"/>
                  </a:cubicBezTo>
                  <a:cubicBezTo>
                    <a:pt x="154558" y="185560"/>
                    <a:pt x="163147" y="193611"/>
                    <a:pt x="173608" y="198260"/>
                  </a:cubicBezTo>
                  <a:cubicBezTo>
                    <a:pt x="191958" y="206415"/>
                    <a:pt x="230758" y="217310"/>
                    <a:pt x="230758" y="217310"/>
                  </a:cubicBezTo>
                  <a:cubicBezTo>
                    <a:pt x="297771" y="194972"/>
                    <a:pt x="215043" y="224045"/>
                    <a:pt x="297433" y="188735"/>
                  </a:cubicBezTo>
                  <a:cubicBezTo>
                    <a:pt x="306661" y="184780"/>
                    <a:pt x="316483" y="182385"/>
                    <a:pt x="326008" y="179210"/>
                  </a:cubicBezTo>
                  <a:cubicBezTo>
                    <a:pt x="491103" y="188921"/>
                    <a:pt x="459358" y="234772"/>
                    <a:pt x="487933" y="236360"/>
                  </a:cubicBezTo>
                  <a:close/>
                </a:path>
              </a:pathLst>
            </a:cu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9" name="Forma libre 8"/>
            <xdr:cNvSpPr/>
          </xdr:nvSpPr>
          <xdr:spPr>
            <a:xfrm>
              <a:off x="1047750" y="5715000"/>
              <a:ext cx="220513" cy="214145"/>
            </a:xfrm>
            <a:custGeom>
              <a:avLst/>
              <a:gdLst>
                <a:gd name="connsiteX0" fmla="*/ 219075 w 220513"/>
                <a:gd name="connsiteY0" fmla="*/ 95250 h 214145"/>
                <a:gd name="connsiteX1" fmla="*/ 161925 w 220513"/>
                <a:gd name="connsiteY1" fmla="*/ 85725 h 214145"/>
                <a:gd name="connsiteX2" fmla="*/ 123825 w 220513"/>
                <a:gd name="connsiteY2" fmla="*/ 28575 h 214145"/>
                <a:gd name="connsiteX3" fmla="*/ 104775 w 220513"/>
                <a:gd name="connsiteY3" fmla="*/ 0 h 214145"/>
                <a:gd name="connsiteX4" fmla="*/ 76200 w 220513"/>
                <a:gd name="connsiteY4" fmla="*/ 9525 h 214145"/>
                <a:gd name="connsiteX5" fmla="*/ 66675 w 220513"/>
                <a:gd name="connsiteY5" fmla="*/ 38100 h 214145"/>
                <a:gd name="connsiteX6" fmla="*/ 76200 w 220513"/>
                <a:gd name="connsiteY6" fmla="*/ 123825 h 214145"/>
                <a:gd name="connsiteX7" fmla="*/ 19050 w 220513"/>
                <a:gd name="connsiteY7" fmla="*/ 161925 h 214145"/>
                <a:gd name="connsiteX8" fmla="*/ 0 w 220513"/>
                <a:gd name="connsiteY8" fmla="*/ 190500 h 214145"/>
                <a:gd name="connsiteX9" fmla="*/ 95250 w 220513"/>
                <a:gd name="connsiteY9" fmla="*/ 200025 h 214145"/>
                <a:gd name="connsiteX10" fmla="*/ 123825 w 220513"/>
                <a:gd name="connsiteY10" fmla="*/ 171450 h 214145"/>
                <a:gd name="connsiteX11" fmla="*/ 180975 w 220513"/>
                <a:gd name="connsiteY11" fmla="*/ 152400 h 214145"/>
                <a:gd name="connsiteX12" fmla="*/ 209550 w 220513"/>
                <a:gd name="connsiteY12" fmla="*/ 142875 h 214145"/>
                <a:gd name="connsiteX13" fmla="*/ 219075 w 220513"/>
                <a:gd name="connsiteY13" fmla="*/ 95250 h 214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220513" h="214145">
                  <a:moveTo>
                    <a:pt x="219075" y="95250"/>
                  </a:moveTo>
                  <a:cubicBezTo>
                    <a:pt x="211138" y="85725"/>
                    <a:pt x="177747" y="96800"/>
                    <a:pt x="161925" y="85725"/>
                  </a:cubicBezTo>
                  <a:cubicBezTo>
                    <a:pt x="143168" y="72595"/>
                    <a:pt x="136525" y="47625"/>
                    <a:pt x="123825" y="28575"/>
                  </a:cubicBezTo>
                  <a:lnTo>
                    <a:pt x="104775" y="0"/>
                  </a:lnTo>
                  <a:cubicBezTo>
                    <a:pt x="95250" y="3175"/>
                    <a:pt x="83300" y="2425"/>
                    <a:pt x="76200" y="9525"/>
                  </a:cubicBezTo>
                  <a:cubicBezTo>
                    <a:pt x="69100" y="16625"/>
                    <a:pt x="66675" y="28060"/>
                    <a:pt x="66675" y="38100"/>
                  </a:cubicBezTo>
                  <a:cubicBezTo>
                    <a:pt x="66675" y="66851"/>
                    <a:pt x="73025" y="95250"/>
                    <a:pt x="76200" y="123825"/>
                  </a:cubicBezTo>
                  <a:cubicBezTo>
                    <a:pt x="56104" y="184112"/>
                    <a:pt x="85310" y="124062"/>
                    <a:pt x="19050" y="161925"/>
                  </a:cubicBezTo>
                  <a:cubicBezTo>
                    <a:pt x="9111" y="167605"/>
                    <a:pt x="6350" y="180975"/>
                    <a:pt x="0" y="190500"/>
                  </a:cubicBezTo>
                  <a:cubicBezTo>
                    <a:pt x="37666" y="215611"/>
                    <a:pt x="36048" y="223706"/>
                    <a:pt x="95250" y="200025"/>
                  </a:cubicBezTo>
                  <a:cubicBezTo>
                    <a:pt x="107757" y="195022"/>
                    <a:pt x="112050" y="177992"/>
                    <a:pt x="123825" y="171450"/>
                  </a:cubicBezTo>
                  <a:cubicBezTo>
                    <a:pt x="141378" y="161698"/>
                    <a:pt x="161925" y="158750"/>
                    <a:pt x="180975" y="152400"/>
                  </a:cubicBezTo>
                  <a:lnTo>
                    <a:pt x="209550" y="142875"/>
                  </a:lnTo>
                  <a:cubicBezTo>
                    <a:pt x="199021" y="111288"/>
                    <a:pt x="227012" y="104775"/>
                    <a:pt x="219075" y="95250"/>
                  </a:cubicBezTo>
                  <a:close/>
                </a:path>
              </a:pathLst>
            </a:cu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0" name="Forma libre 9"/>
            <xdr:cNvSpPr/>
          </xdr:nvSpPr>
          <xdr:spPr>
            <a:xfrm>
              <a:off x="6991345" y="3886200"/>
              <a:ext cx="136370" cy="104775"/>
            </a:xfrm>
            <a:custGeom>
              <a:avLst/>
              <a:gdLst>
                <a:gd name="connsiteX0" fmla="*/ 66680 w 136370"/>
                <a:gd name="connsiteY0" fmla="*/ 0 h 104775"/>
                <a:gd name="connsiteX1" fmla="*/ 19055 w 136370"/>
                <a:gd name="connsiteY1" fmla="*/ 28575 h 104775"/>
                <a:gd name="connsiteX2" fmla="*/ 19055 w 136370"/>
                <a:gd name="connsiteY2" fmla="*/ 85725 h 104775"/>
                <a:gd name="connsiteX3" fmla="*/ 85730 w 136370"/>
                <a:gd name="connsiteY3" fmla="*/ 104775 h 104775"/>
                <a:gd name="connsiteX4" fmla="*/ 133355 w 136370"/>
                <a:gd name="connsiteY4" fmla="*/ 95250 h 104775"/>
                <a:gd name="connsiteX5" fmla="*/ 85730 w 136370"/>
                <a:gd name="connsiteY5" fmla="*/ 57150 h 104775"/>
                <a:gd name="connsiteX6" fmla="*/ 66680 w 136370"/>
                <a:gd name="connsiteY6" fmla="*/ 0 h 104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36370" h="104775">
                  <a:moveTo>
                    <a:pt x="66680" y="0"/>
                  </a:moveTo>
                  <a:cubicBezTo>
                    <a:pt x="50805" y="9525"/>
                    <a:pt x="33111" y="16527"/>
                    <a:pt x="19055" y="28575"/>
                  </a:cubicBezTo>
                  <a:cubicBezTo>
                    <a:pt x="-5469" y="49596"/>
                    <a:pt x="-7221" y="64704"/>
                    <a:pt x="19055" y="85725"/>
                  </a:cubicBezTo>
                  <a:cubicBezTo>
                    <a:pt x="25266" y="90694"/>
                    <a:pt x="83241" y="104153"/>
                    <a:pt x="85730" y="104775"/>
                  </a:cubicBezTo>
                  <a:cubicBezTo>
                    <a:pt x="101605" y="101600"/>
                    <a:pt x="123641" y="108202"/>
                    <a:pt x="133355" y="95250"/>
                  </a:cubicBezTo>
                  <a:cubicBezTo>
                    <a:pt x="150589" y="72272"/>
                    <a:pt x="88458" y="58059"/>
                    <a:pt x="85730" y="57150"/>
                  </a:cubicBezTo>
                  <a:lnTo>
                    <a:pt x="66680" y="0"/>
                  </a:lnTo>
                  <a:close/>
                </a:path>
              </a:pathLst>
            </a:cu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grpSp>
    <xdr:clientData/>
  </xdr:twoCellAnchor>
</xdr:wsDr>
</file>

<file path=xl/drawings/drawing68.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122465</xdr:colOff>
      <xdr:row>7</xdr:row>
      <xdr:rowOff>190499</xdr:rowOff>
    </xdr:from>
    <xdr:to>
      <xdr:col>9</xdr:col>
      <xdr:colOff>639536</xdr:colOff>
      <xdr:row>37</xdr:row>
      <xdr:rowOff>149678</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08465" y="1523999"/>
          <a:ext cx="5225142" cy="5674179"/>
        </a:xfrm>
        <a:prstGeom prst="rect">
          <a:avLst/>
        </a:prstGeom>
        <a:noFill/>
        <a:ln>
          <a:noFill/>
        </a:ln>
      </xdr:spPr>
    </xdr:pic>
    <xdr:clientData/>
  </xdr:twoCellAnchor>
  <xdr:twoCellAnchor>
    <xdr:from>
      <xdr:col>0</xdr:col>
      <xdr:colOff>704369</xdr:colOff>
      <xdr:row>10</xdr:row>
      <xdr:rowOff>143276</xdr:rowOff>
    </xdr:from>
    <xdr:to>
      <xdr:col>12</xdr:col>
      <xdr:colOff>285750</xdr:colOff>
      <xdr:row>33</xdr:row>
      <xdr:rowOff>176893</xdr:rowOff>
    </xdr:to>
    <xdr:sp macro="" textlink="">
      <xdr:nvSpPr>
        <xdr:cNvPr id="3" name="2 CuadroTexto"/>
        <xdr:cNvSpPr txBox="1"/>
      </xdr:nvSpPr>
      <xdr:spPr>
        <a:xfrm>
          <a:off x="704369" y="2048276"/>
          <a:ext cx="8861452" cy="441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rPr>
            <a:t>Estadísticas</a:t>
          </a:r>
          <a:r>
            <a:rPr lang="es-DO" sz="4800" b="1" baseline="0">
              <a:solidFill>
                <a:schemeClr val="accent3">
                  <a:lumMod val="50000"/>
                </a:schemeClr>
              </a:solidFill>
            </a:rPr>
            <a:t> </a:t>
          </a:r>
          <a:r>
            <a:rPr lang="es-DO" sz="4800" b="1">
              <a:solidFill>
                <a:schemeClr val="accent3">
                  <a:lumMod val="50000"/>
                </a:schemeClr>
              </a:solidFill>
            </a:rPr>
            <a:t>del</a:t>
          </a:r>
          <a:r>
            <a:rPr lang="es-DO" sz="4800" b="1" baseline="0">
              <a:solidFill>
                <a:schemeClr val="accent3">
                  <a:lumMod val="50000"/>
                </a:schemeClr>
              </a:solidFill>
            </a:rPr>
            <a:t> Sistema Dominicano de la Seguridad Social (SDSS)</a:t>
          </a:r>
          <a:endParaRPr lang="es-DO" sz="4800" b="1">
            <a:solidFill>
              <a:schemeClr val="accent3">
                <a:lumMod val="50000"/>
              </a:schemeClr>
            </a:solidFill>
          </a:endParaRP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2</xdr:col>
      <xdr:colOff>510987</xdr:colOff>
      <xdr:row>4</xdr:row>
      <xdr:rowOff>160884</xdr:rowOff>
    </xdr:from>
    <xdr:to>
      <xdr:col>7</xdr:col>
      <xdr:colOff>492579</xdr:colOff>
      <xdr:row>26</xdr:row>
      <xdr:rowOff>108858</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034987" y="922884"/>
          <a:ext cx="3924942" cy="4138974"/>
        </a:xfrm>
        <a:prstGeom prst="rect">
          <a:avLst/>
        </a:prstGeom>
        <a:noFill/>
        <a:ln>
          <a:noFill/>
        </a:ln>
      </xdr:spPr>
    </xdr:pic>
    <xdr:clientData/>
  </xdr:twoCellAnchor>
  <xdr:twoCellAnchor>
    <xdr:from>
      <xdr:col>0</xdr:col>
      <xdr:colOff>24849</xdr:colOff>
      <xdr:row>4</xdr:row>
      <xdr:rowOff>8283</xdr:rowOff>
    </xdr:from>
    <xdr:to>
      <xdr:col>10</xdr:col>
      <xdr:colOff>546653</xdr:colOff>
      <xdr:row>27</xdr:row>
      <xdr:rowOff>132522</xdr:rowOff>
    </xdr:to>
    <xdr:sp macro="" textlink="">
      <xdr:nvSpPr>
        <xdr:cNvPr id="2" name="1 CuadroTexto"/>
        <xdr:cNvSpPr txBox="1"/>
      </xdr:nvSpPr>
      <xdr:spPr>
        <a:xfrm>
          <a:off x="24849" y="770283"/>
          <a:ext cx="8274326" cy="450573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junio de 2015 se presenta una afiliación de 1,706,784 trabajadores asalariados,</a:t>
          </a:r>
          <a:r>
            <a:rPr lang="es-DO" sz="1400" b="0" baseline="0">
              <a:solidFill>
                <a:sysClr val="windowText" lastClr="000000"/>
              </a:solidFill>
            </a:rPr>
            <a:t> </a:t>
          </a:r>
          <a:r>
            <a:rPr lang="es-DO" sz="1400" b="0">
              <a:solidFill>
                <a:sysClr val="windowText" lastClr="000000"/>
              </a:solidFill>
            </a:rPr>
            <a:t>equivalente al 91.5% de la población ocupada del sector formal, de acuerdo a los datos de la Encuesta Nacional de Fuerza de Trabajo del Banco Central del año 2014.</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en </a:t>
          </a:r>
          <a:r>
            <a:rPr lang="es-DO" sz="1400" b="0" baseline="0">
              <a:solidFill>
                <a:sysClr val="windowText" lastClr="000000"/>
              </a:solidFill>
            </a:rPr>
            <a:t>junio </a:t>
          </a:r>
          <a:r>
            <a:rPr lang="es-DO" sz="1400" b="0">
              <a:solidFill>
                <a:sysClr val="windowText" lastClr="000000"/>
              </a:solidFill>
            </a:rPr>
            <a:t>de 2015, el  1.4% de los afiliados al SRL es menor o igual a 19 años;</a:t>
          </a:r>
          <a:r>
            <a:rPr lang="es-DO" sz="1400" b="0" baseline="0">
              <a:solidFill>
                <a:sysClr val="windowText" lastClr="000000"/>
              </a:solidFill>
            </a:rPr>
            <a:t> </a:t>
          </a:r>
          <a:r>
            <a:rPr lang="es-DO" sz="1400" b="0">
              <a:solidFill>
                <a:sysClr val="windowText" lastClr="000000"/>
              </a:solidFill>
            </a:rPr>
            <a:t>el 91.2% está entre las edades de 20 - 59 años y se destaca que el 7.4%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17.9% realizan actividades de riesgos I,  aquel en el cual su gravedad potencial es la de generar lesiones que solo requieren de primeros auxilios); el 37.5% de riesgo de tipo II (cuya gravedad potencial es la de generar lesiones serias no incapacitantes y que solo requieran atención médica o produzcan una incapacidad de corta duración);  y el 44.6%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a:t>
          </a:r>
          <a:r>
            <a:rPr lang="es-DO" sz="1400" b="0" baseline="0">
              <a:solidFill>
                <a:sysClr val="windowText" lastClr="000000"/>
              </a:solidFill>
            </a:rPr>
            <a:t> mes de junio</a:t>
          </a:r>
          <a:r>
            <a:rPr lang="es-DO" sz="1400" b="0">
              <a:solidFill>
                <a:sysClr val="windowText" lastClr="000000"/>
              </a:solidFill>
            </a:rPr>
            <a:t> de 2015, habían 950,161 hombres y 756,623 mujeres para una participación de 55.7% y 44.3% respectivamente.  En ambos sexo la mayor concentración de afiliados se encuentra entre las edades de 20 a 59, observándose por género</a:t>
          </a:r>
          <a:r>
            <a:rPr lang="es-DO" sz="1400" b="0" baseline="0">
              <a:solidFill>
                <a:sysClr val="windowText" lastClr="000000"/>
              </a:solidFill>
            </a:rPr>
            <a:t> que el 90.1% de los hombres y el 92.6% de mujeres están entre las edades antes mencionadas.</a:t>
          </a:r>
          <a:endParaRPr lang="es-DO" sz="1200" b="1">
            <a:solidFill>
              <a:sysClr val="windowText" lastClr="000000"/>
            </a:solidFill>
          </a:endParaRPr>
        </a:p>
      </xdr:txBody>
    </xdr:sp>
    <xdr:clientData/>
  </xdr:twoCellAnchor>
  <xdr:twoCellAnchor>
    <xdr:from>
      <xdr:col>0</xdr:col>
      <xdr:colOff>0</xdr:colOff>
      <xdr:row>0</xdr:row>
      <xdr:rowOff>0</xdr:rowOff>
    </xdr:from>
    <xdr:to>
      <xdr:col>11</xdr:col>
      <xdr:colOff>9525</xdr:colOff>
      <xdr:row>3</xdr:row>
      <xdr:rowOff>133350</xdr:rowOff>
    </xdr:to>
    <xdr:sp macro="" textlink="">
      <xdr:nvSpPr>
        <xdr:cNvPr id="5" name="4 Rectángulo redondeado"/>
        <xdr:cNvSpPr/>
      </xdr:nvSpPr>
      <xdr:spPr>
        <a:xfrm>
          <a:off x="0" y="0"/>
          <a:ext cx="8801100" cy="7048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167368</xdr:colOff>
      <xdr:row>0</xdr:row>
      <xdr:rowOff>83343</xdr:rowOff>
    </xdr:from>
    <xdr:to>
      <xdr:col>1</xdr:col>
      <xdr:colOff>80921</xdr:colOff>
      <xdr:row>2</xdr:row>
      <xdr:rowOff>152401</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167368" y="83343"/>
          <a:ext cx="675553" cy="450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34636</xdr:colOff>
      <xdr:row>11</xdr:row>
      <xdr:rowOff>69273</xdr:rowOff>
    </xdr:from>
    <xdr:to>
      <xdr:col>15</xdr:col>
      <xdr:colOff>1021772</xdr:colOff>
      <xdr:row>54</xdr:row>
      <xdr:rowOff>0</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000" b="1">
              <a:solidFill>
                <a:schemeClr val="lt1"/>
              </a:solidFill>
              <a:effectLst/>
              <a:latin typeface="+mn-lt"/>
              <a:ea typeface="+mn-ea"/>
              <a:cs typeface="+mn-cs"/>
            </a:rPr>
            <a:t>Período: Diciembre 2008 -  Junio 2015</a:t>
          </a:r>
          <a:endParaRPr lang="es-DO" sz="4400">
            <a:effectLst/>
          </a:endParaRPr>
        </a:p>
      </xdr:txBody>
    </xdr:sp>
    <xdr:clientData/>
  </xdr:twoCellAnchor>
  <xdr:twoCellAnchor editAs="oneCell">
    <xdr:from>
      <xdr:col>0</xdr:col>
      <xdr:colOff>381000</xdr:colOff>
      <xdr:row>0</xdr:row>
      <xdr:rowOff>207818</xdr:rowOff>
    </xdr:from>
    <xdr:to>
      <xdr:col>1</xdr:col>
      <xdr:colOff>102320</xdr:colOff>
      <xdr:row>0</xdr:row>
      <xdr:rowOff>883227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7818"/>
          <a:ext cx="950911" cy="675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0.05182</cdr:x>
      <cdr:y>0.91159</cdr:y>
    </cdr:from>
    <cdr:to>
      <cdr:x>0.55762</cdr:x>
      <cdr:y>0.96424</cdr:y>
    </cdr:to>
    <cdr:sp macro="" textlink="">
      <cdr:nvSpPr>
        <cdr:cNvPr id="2" name="1 CuadroTexto"/>
        <cdr:cNvSpPr txBox="1"/>
      </cdr:nvSpPr>
      <cdr:spPr>
        <a:xfrm xmlns:a="http://schemas.openxmlformats.org/drawingml/2006/main">
          <a:off x="876756" y="6772659"/>
          <a:ext cx="8558067" cy="3911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73.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265958</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258044</xdr:rowOff>
    </xdr:from>
    <xdr:to>
      <xdr:col>12</xdr:col>
      <xdr:colOff>1257300</xdr:colOff>
      <xdr:row>71</xdr:row>
      <xdr:rowOff>76200</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1161557</xdr:colOff>
      <xdr:row>46</xdr:row>
      <xdr:rowOff>80403</xdr:rowOff>
    </xdr:from>
    <xdr:to>
      <xdr:col>8</xdr:col>
      <xdr:colOff>34637</xdr:colOff>
      <xdr:row>61</xdr:row>
      <xdr:rowOff>138546</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8660330" y="11874085"/>
          <a:ext cx="1072489" cy="2932961"/>
        </a:xfrm>
        <a:prstGeom prst="rect">
          <a:avLst/>
        </a:prstGeom>
        <a:noFill/>
        <a:ln>
          <a:noFill/>
        </a:ln>
        <a:extLst/>
      </xdr:spPr>
    </xdr:pic>
    <xdr:clientData/>
  </xdr:twoCellAnchor>
  <xdr:twoCellAnchor editAs="oneCell">
    <xdr:from>
      <xdr:col>4</xdr:col>
      <xdr:colOff>1125683</xdr:colOff>
      <xdr:row>46</xdr:row>
      <xdr:rowOff>69273</xdr:rowOff>
    </xdr:from>
    <xdr:to>
      <xdr:col>5</xdr:col>
      <xdr:colOff>1316183</xdr:colOff>
      <xdr:row>60</xdr:row>
      <xdr:rowOff>173182</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078683" y="1186295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1177637</xdr:rowOff>
    </xdr:to>
    <xdr:sp macro="" textlink="">
      <xdr:nvSpPr>
        <xdr:cNvPr id="12" name="11 Rectángulo redondeado"/>
        <xdr:cNvSpPr/>
      </xdr:nvSpPr>
      <xdr:spPr>
        <a:xfrm>
          <a:off x="0" y="1"/>
          <a:ext cx="159846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Junio 2015</a:t>
          </a:r>
          <a:endParaRPr lang="es-DO" sz="4400">
            <a:effectLst/>
          </a:endParaRPr>
        </a:p>
      </xdr:txBody>
    </xdr:sp>
    <xdr:clientData/>
  </xdr:twoCellAnchor>
  <xdr:twoCellAnchor editAs="oneCell">
    <xdr:from>
      <xdr:col>0</xdr:col>
      <xdr:colOff>484909</xdr:colOff>
      <xdr:row>0</xdr:row>
      <xdr:rowOff>225137</xdr:rowOff>
    </xdr:from>
    <xdr:to>
      <xdr:col>1</xdr:col>
      <xdr:colOff>385718</xdr:colOff>
      <xdr:row>0</xdr:row>
      <xdr:rowOff>889165</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909" y="225137"/>
          <a:ext cx="939900" cy="664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639536</xdr:colOff>
      <xdr:row>55</xdr:row>
      <xdr:rowOff>68036</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13607</xdr:rowOff>
    </xdr:from>
    <xdr:to>
      <xdr:col>13</xdr:col>
      <xdr:colOff>734786</xdr:colOff>
      <xdr:row>0</xdr:row>
      <xdr:rowOff>979714</xdr:rowOff>
    </xdr:to>
    <xdr:sp macro="" textlink="">
      <xdr:nvSpPr>
        <xdr:cNvPr id="4" name="3 Rectángulo redondeado"/>
        <xdr:cNvSpPr/>
      </xdr:nvSpPr>
      <xdr:spPr>
        <a:xfrm>
          <a:off x="1" y="13607"/>
          <a:ext cx="13647964"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Junio 2014 - Junio 2015</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0.02533</cdr:x>
      <cdr:y>0.91271</cdr:y>
    </cdr:from>
    <cdr:to>
      <cdr:x>0.48839</cdr:x>
      <cdr:y>0.94371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4320" y="6619527"/>
          <a:ext cx="6477349" cy="224866"/>
        </a:xfrm>
        <a:prstGeom xmlns:a="http://schemas.openxmlformats.org/drawingml/2006/main" prst="rect">
          <a:avLst/>
        </a:prstGeom>
      </cdr:spPr>
    </cdr:pic>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15</xdr:row>
      <xdr:rowOff>34671</xdr:rowOff>
    </xdr:from>
    <xdr:to>
      <xdr:col>9</xdr:col>
      <xdr:colOff>913356</xdr:colOff>
      <xdr:row>44</xdr:row>
      <xdr:rowOff>8574</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1017739</xdr:colOff>
      <xdr:row>0</xdr:row>
      <xdr:rowOff>1017740</xdr:rowOff>
    </xdr:to>
    <xdr:sp macro="" textlink="">
      <xdr:nvSpPr>
        <xdr:cNvPr id="6" name="5 Rectángulo redondeado"/>
        <xdr:cNvSpPr/>
      </xdr:nvSpPr>
      <xdr:spPr>
        <a:xfrm>
          <a:off x="0" y="0"/>
          <a:ext cx="11808390"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Accidentabilidad Laboral de los Afiliados al SRL</a:t>
          </a:r>
        </a:p>
        <a:p>
          <a:pPr algn="ctr" eaLnBrk="1" fontAlgn="auto" latinLnBrk="0" hangingPunct="1"/>
          <a:r>
            <a:rPr lang="es-DO" sz="1600" b="1">
              <a:solidFill>
                <a:schemeClr val="lt1"/>
              </a:solidFill>
              <a:effectLst/>
              <a:latin typeface="+mn-lt"/>
              <a:ea typeface="+mn-ea"/>
              <a:cs typeface="+mn-cs"/>
            </a:rPr>
            <a:t>Período: 2005 - Junio 2015</a:t>
          </a:r>
          <a:endParaRPr lang="es-DO" sz="3600">
            <a:effectLst/>
          </a:endParaRPr>
        </a:p>
      </xdr:txBody>
    </xdr:sp>
    <xdr:clientData/>
  </xdr:twoCellAnchor>
  <xdr:twoCellAnchor editAs="oneCell">
    <xdr:from>
      <xdr:col>0</xdr:col>
      <xdr:colOff>495821</xdr:colOff>
      <xdr:row>0</xdr:row>
      <xdr:rowOff>156575</xdr:rowOff>
    </xdr:from>
    <xdr:to>
      <xdr:col>1</xdr:col>
      <xdr:colOff>193892</xdr:colOff>
      <xdr:row>0</xdr:row>
      <xdr:rowOff>709025</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821" y="156575"/>
          <a:ext cx="7810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85264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Porporciona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a:p>
          <a:pPr lvl="1"/>
          <a:endParaRPr lang="es-DO" sz="1200" b="1" i="0" u="none" strike="noStrike" baseline="0">
            <a:solidFill>
              <a:schemeClr val="dk1"/>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r>
            <a:rPr lang="es-DO" sz="1400" b="1">
              <a:solidFill>
                <a:schemeClr val="accent3">
                  <a:lumMod val="50000"/>
                </a:schemeClr>
              </a:solidFill>
            </a:rPr>
            <a:t> </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sistemas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de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32</xdr:row>
      <xdr:rowOff>81275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44825</xdr:colOff>
      <xdr:row>5</xdr:row>
      <xdr:rowOff>22411</xdr:rowOff>
    </xdr:from>
    <xdr:to>
      <xdr:col>11</xdr:col>
      <xdr:colOff>829236</xdr:colOff>
      <xdr:row>36</xdr:row>
      <xdr:rowOff>145675</xdr:rowOff>
    </xdr:to>
    <xdr:sp macro="" textlink="">
      <xdr:nvSpPr>
        <xdr:cNvPr id="3" name="2 CuadroTexto"/>
        <xdr:cNvSpPr txBox="1"/>
      </xdr:nvSpPr>
      <xdr:spPr>
        <a:xfrm>
          <a:off x="44825" y="896470"/>
          <a:ext cx="10074087" cy="668991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Desde el año 2003 hasta junio 2015 ha ingresado al Sistema Dominicano de la Seguridad Social (SDSS)  por concepto de recaudo (incluyendo intereses recargo y multas),  aportes del Gobierno Central y rendimiento de inversiones, la suma de RD$481,999,833,698.10  de los cuales el 91.2%  (RD$439,454,025,686.53 ) pertenece al recaudo del Régimen Contributivo; el 7.5% (RD$36,200,508,734.00 ) aportes del gobierno para cubrir a los afiliados del Seguro Familiar de Salud del Régimen Subsidiado y el 1.3% (RD$ 6,345,299,277.57)</a:t>
          </a:r>
          <a:r>
            <a:rPr lang="es-DO" sz="1400" b="0" baseline="0">
              <a:solidFill>
                <a:sysClr val="windowText" lastClr="000000"/>
              </a:solidFill>
              <a:latin typeface="+mn-lt"/>
              <a:ea typeface="+mn-ea"/>
              <a:cs typeface="+mn-cs"/>
            </a:rPr>
            <a:t> </a:t>
          </a:r>
          <a:r>
            <a:rPr lang="es-DO" sz="1400" b="0">
              <a:solidFill>
                <a:sysClr val="windowText" lastClr="000000"/>
              </a:solidFill>
              <a:latin typeface="+mn-lt"/>
              <a:ea typeface="+mn-ea"/>
              <a:cs typeface="+mn-cs"/>
            </a:rPr>
            <a:t>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Los aportes del gobierno entre el año 2003 hasta junio 2015 ascienden a un monto de RD$</a:t>
          </a:r>
          <a:r>
            <a:rPr lang="es-ES" sz="1400" b="0">
              <a:solidFill>
                <a:sysClr val="windowText" lastClr="000000"/>
              </a:solidFill>
              <a:latin typeface="+mn-lt"/>
              <a:ea typeface="+mn-ea"/>
              <a:cs typeface="+mn-cs"/>
            </a:rPr>
            <a:t>38,440,702,645.57 </a:t>
          </a:r>
          <a:r>
            <a:rPr lang="es-DO" sz="1400" b="0">
              <a:solidFill>
                <a:sysClr val="windowText" lastClr="000000"/>
              </a:solidFill>
              <a:latin typeface="+mn-lt"/>
              <a:ea typeface="+mn-ea"/>
              <a:cs typeface="+mn-cs"/>
            </a:rPr>
            <a:t>, distribuido  de la siguiente manera: RD$36,200,508,734.00,  para cubrir a los afiliados del Seguro Familiar de Salud del Régimen Subsidiado;  RD$400,000,000.00 para la cobertura del Fondo de Atenciones Médicas por Accidentes de Tránsito (FONAMAT) en el período comprendido entre septiembre 2007 y diciembre 2009 y RD$1,840,193,911.57,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Del total recaudado desde julio 2003 al mes de junio 2015, un 67.10%  (RD$294,862,869,082.70) proviene del sector privado y el 32.90% (RD$144,591,156,603.83) del sector público.  Del recaudo por origen de los aportes, el 28.27% proviene de los trabajadores (el 9.31% sectores público y el 18.96% privados) y el 71.73% del sector empleador (23.59% público y el 48.13%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Para el período enero - diciembre 2014 los fondos ingresados al Sistema Dominicano de Seguridad Social (SDSS)  por concepto de recaudo del Régimen Contributivo ascendieron a RD$77,623,881,443.05 y los pagos a las diferentes entidades que lo componen para cubrir los diferentes seguros alcanzaron un monto total de RD$77,919,978,415.96.  En el mismo período, para el Régimen Subsidiado se recibieron aportes del gobierno central  por la suma de RD$6,839,999,499.00 y se realizaron pago a SENASA por un monto de RD$7,378,610,518.96.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66674</xdr:rowOff>
    </xdr:to>
    <xdr:sp macro="" textlink="">
      <xdr:nvSpPr>
        <xdr:cNvPr id="4" name="3 Rectángulo redondeado"/>
        <xdr:cNvSpPr/>
      </xdr:nvSpPr>
      <xdr:spPr>
        <a:xfrm>
          <a:off x="0" y="0"/>
          <a:ext cx="9353550" cy="8286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321050</xdr:colOff>
      <xdr:row>0</xdr:row>
      <xdr:rowOff>136151</xdr:rowOff>
    </xdr:from>
    <xdr:to>
      <xdr:col>1</xdr:col>
      <xdr:colOff>323850</xdr:colOff>
      <xdr:row>3</xdr:row>
      <xdr:rowOff>74166</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321050" y="136151"/>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40821</xdr:colOff>
      <xdr:row>18</xdr:row>
      <xdr:rowOff>108858</xdr:rowOff>
    </xdr:from>
    <xdr:to>
      <xdr:col>13</xdr:col>
      <xdr:colOff>1350508</xdr:colOff>
      <xdr:row>64</xdr:row>
      <xdr:rowOff>102054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0</xdr:row>
      <xdr:rowOff>1102179</xdr:rowOff>
    </xdr:to>
    <xdr:sp macro="" textlink="">
      <xdr:nvSpPr>
        <xdr:cNvPr id="3" name="6 Rectángulo redondeado"/>
        <xdr:cNvSpPr/>
      </xdr:nvSpPr>
      <xdr:spPr>
        <a:xfrm>
          <a:off x="0" y="0"/>
          <a:ext cx="21942878"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Datos Generales del Sistema Dominicano de Seguridad Social (SDSS) </a:t>
          </a:r>
        </a:p>
        <a:p>
          <a:pPr algn="ctr" eaLnBrk="1" fontAlgn="auto" latinLnBrk="0" hangingPunct="1"/>
          <a:r>
            <a:rPr lang="es-DO" sz="1800" b="1">
              <a:solidFill>
                <a:schemeClr val="lt1"/>
              </a:solidFill>
              <a:effectLst/>
              <a:latin typeface="+mn-lt"/>
              <a:ea typeface="+mn-ea"/>
              <a:cs typeface="+mn-cs"/>
            </a:rPr>
            <a:t>Ingresos y Egresos Anuales del SDSS</a:t>
          </a:r>
        </a:p>
        <a:p>
          <a:pPr algn="ctr" eaLnBrk="1" fontAlgn="auto" latinLnBrk="0" hangingPunct="1"/>
          <a:r>
            <a:rPr lang="es-DO" sz="1800" b="1">
              <a:solidFill>
                <a:schemeClr val="lt1"/>
              </a:solidFill>
              <a:effectLst/>
              <a:latin typeface="+mn-lt"/>
              <a:ea typeface="+mn-ea"/>
              <a:cs typeface="+mn-cs"/>
            </a:rPr>
            <a:t>Período: 2003 - Junio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2015</a:t>
          </a:r>
          <a:endParaRPr lang="es-DO" sz="2800">
            <a:effectLst/>
          </a:endParaRPr>
        </a:p>
      </xdr:txBody>
    </xdr:sp>
    <xdr:clientData/>
  </xdr:twoCellAnchor>
  <xdr:twoCellAnchor editAs="oneCell">
    <xdr:from>
      <xdr:col>0</xdr:col>
      <xdr:colOff>917864</xdr:colOff>
      <xdr:row>0</xdr:row>
      <xdr:rowOff>242455</xdr:rowOff>
    </xdr:from>
    <xdr:to>
      <xdr:col>1</xdr:col>
      <xdr:colOff>1006681</xdr:colOff>
      <xdr:row>0</xdr:row>
      <xdr:rowOff>994926</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7864" y="242455"/>
          <a:ext cx="1088942" cy="752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0.04467</cdr:x>
      <cdr:y>0.94122</cdr:y>
    </cdr:from>
    <cdr:to>
      <cdr:x>0.14484</cdr:x>
      <cdr:y>0.9753</cdr:y>
    </cdr:to>
    <cdr:sp macro="" textlink="">
      <cdr:nvSpPr>
        <cdr:cNvPr id="2" name="1 CuadroTexto"/>
        <cdr:cNvSpPr txBox="1"/>
      </cdr:nvSpPr>
      <cdr:spPr>
        <a:xfrm xmlns:a="http://schemas.openxmlformats.org/drawingml/2006/main">
          <a:off x="936157" y="10538114"/>
          <a:ext cx="2099279" cy="3815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33617</xdr:colOff>
      <xdr:row>17</xdr:row>
      <xdr:rowOff>32497</xdr:rowOff>
    </xdr:from>
    <xdr:to>
      <xdr:col>8</xdr:col>
      <xdr:colOff>885265</xdr:colOff>
      <xdr:row>46</xdr:row>
      <xdr:rowOff>100853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8</xdr:col>
      <xdr:colOff>1019734</xdr:colOff>
      <xdr:row>0</xdr:row>
      <xdr:rowOff>739588</xdr:rowOff>
    </xdr:to>
    <xdr:sp macro="" textlink="">
      <xdr:nvSpPr>
        <xdr:cNvPr id="6" name="6 Rectángulo redondeado"/>
        <xdr:cNvSpPr/>
      </xdr:nvSpPr>
      <xdr:spPr>
        <a:xfrm>
          <a:off x="0" y="0"/>
          <a:ext cx="10925734" cy="7395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Recaudo del Régimen Contributivo del SDSS por Sector Económico</a:t>
          </a:r>
        </a:p>
        <a:p>
          <a:pPr algn="ctr" eaLnBrk="1" fontAlgn="auto" latinLnBrk="0" hangingPunct="1"/>
          <a:r>
            <a:rPr lang="es-DO" sz="1600" b="1">
              <a:solidFill>
                <a:schemeClr val="lt1"/>
              </a:solidFill>
              <a:effectLst/>
              <a:latin typeface="+mn-lt"/>
              <a:ea typeface="+mn-ea"/>
              <a:cs typeface="+mn-cs"/>
            </a:rPr>
            <a:t> Período: 2003 -  Junio 2015</a:t>
          </a:r>
          <a:endParaRPr lang="es-DO" sz="24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400" b="1"/>
            <a:t>Recaudo del Régimen Contributivo del SDSS por Sector Económico</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17</xdr:row>
      <xdr:rowOff>41822</xdr:rowOff>
    </xdr:from>
    <xdr:to>
      <xdr:col>10</xdr:col>
      <xdr:colOff>1020536</xdr:colOff>
      <xdr:row>43</xdr:row>
      <xdr:rowOff>178451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68036</xdr:rowOff>
    </xdr:to>
    <xdr:sp macro="" textlink="">
      <xdr:nvSpPr>
        <xdr:cNvPr id="3" name="6 Rectángulo redondeado"/>
        <xdr:cNvSpPr/>
      </xdr:nvSpPr>
      <xdr:spPr>
        <a:xfrm>
          <a:off x="0" y="0"/>
          <a:ext cx="12545786"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Recaudo del Régimen Contributivo del SDSS por Origen de los Aportes</a:t>
          </a:r>
        </a:p>
        <a:p>
          <a:pPr algn="ctr" eaLnBrk="1" fontAlgn="auto" latinLnBrk="0" hangingPunct="1"/>
          <a:r>
            <a:rPr lang="es-DO" sz="1600" b="1">
              <a:solidFill>
                <a:schemeClr val="lt1"/>
              </a:solidFill>
              <a:effectLst/>
              <a:latin typeface="+mn-lt"/>
              <a:ea typeface="+mn-ea"/>
              <a:cs typeface="+mn-cs"/>
            </a:rPr>
            <a:t>Período: 2003 - Junio 2015</a:t>
          </a:r>
          <a:endParaRPr lang="es-DO" sz="24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13606</xdr:colOff>
      <xdr:row>16</xdr:row>
      <xdr:rowOff>41623</xdr:rowOff>
    </xdr:from>
    <xdr:to>
      <xdr:col>8</xdr:col>
      <xdr:colOff>666749</xdr:colOff>
      <xdr:row>43</xdr:row>
      <xdr:rowOff>68037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385963</xdr:colOff>
      <xdr:row>40</xdr:row>
      <xdr:rowOff>33618</xdr:rowOff>
    </xdr:from>
    <xdr:to>
      <xdr:col>1</xdr:col>
      <xdr:colOff>862854</xdr:colOff>
      <xdr:row>41</xdr:row>
      <xdr:rowOff>134472</xdr:rowOff>
    </xdr:to>
    <xdr:sp macro="" textlink="">
      <xdr:nvSpPr>
        <xdr:cNvPr id="3" name="2 CuadroTexto"/>
        <xdr:cNvSpPr txBox="1"/>
      </xdr:nvSpPr>
      <xdr:spPr>
        <a:xfrm>
          <a:off x="385963" y="8292353"/>
          <a:ext cx="1182862"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8</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2005 - Junio 2015  </a:t>
          </a:r>
          <a:endParaRPr lang="es-DO" sz="2800">
            <a:effectLst/>
          </a:endParaRPr>
        </a:p>
      </xdr:txBody>
    </xdr:sp>
    <xdr:clientData/>
  </xdr:twoCellAnchor>
  <xdr:twoCellAnchor editAs="oneCell">
    <xdr:from>
      <xdr:col>0</xdr:col>
      <xdr:colOff>246530</xdr:colOff>
      <xdr:row>1</xdr:row>
      <xdr:rowOff>22411</xdr:rowOff>
    </xdr:from>
    <xdr:to>
      <xdr:col>1</xdr:col>
      <xdr:colOff>256929</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3</xdr:col>
      <xdr:colOff>291353</xdr:colOff>
      <xdr:row>5</xdr:row>
      <xdr:rowOff>155907</xdr:rowOff>
    </xdr:from>
    <xdr:to>
      <xdr:col>7</xdr:col>
      <xdr:colOff>860106</xdr:colOff>
      <xdr:row>32</xdr:row>
      <xdr:rowOff>93544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77353" y="1343731"/>
          <a:ext cx="4423577" cy="5081137"/>
        </a:xfrm>
        <a:prstGeom prst="rect">
          <a:avLst/>
        </a:prstGeom>
        <a:noFill/>
        <a:ln>
          <a:noFill/>
        </a:ln>
      </xdr:spPr>
    </xdr:pic>
    <xdr:clientData/>
  </xdr:twoCellAnchor>
  <xdr:twoCellAnchor>
    <xdr:from>
      <xdr:col>0</xdr:col>
      <xdr:colOff>1</xdr:colOff>
      <xdr:row>0</xdr:row>
      <xdr:rowOff>0</xdr:rowOff>
    </xdr:from>
    <xdr:to>
      <xdr:col>12</xdr:col>
      <xdr:colOff>0</xdr:colOff>
      <xdr:row>2</xdr:row>
      <xdr:rowOff>244928</xdr:rowOff>
    </xdr:to>
    <xdr:sp macro="" textlink="">
      <xdr:nvSpPr>
        <xdr:cNvPr id="2" name="3 Rectángulo redondeado"/>
        <xdr:cNvSpPr/>
      </xdr:nvSpPr>
      <xdr:spPr>
        <a:xfrm>
          <a:off x="1" y="0"/>
          <a:ext cx="9143999" cy="789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1800" b="1">
              <a:solidFill>
                <a:schemeClr val="lt1"/>
              </a:solidFill>
              <a:effectLst/>
              <a:latin typeface="+mn-lt"/>
              <a:ea typeface="+mn-ea"/>
              <a:cs typeface="+mn-cs"/>
            </a:rPr>
            <a:t>Ingresos y Egresos por Seguros</a:t>
          </a:r>
          <a:endParaRPr lang="es-DO" sz="2800">
            <a:effectLst/>
          </a:endParaRPr>
        </a:p>
      </xdr:txBody>
    </xdr:sp>
    <xdr:clientData/>
  </xdr:twoCellAnchor>
  <xdr:twoCellAnchor>
    <xdr:from>
      <xdr:col>0</xdr:col>
      <xdr:colOff>67235</xdr:colOff>
      <xdr:row>3</xdr:row>
      <xdr:rowOff>100852</xdr:rowOff>
    </xdr:from>
    <xdr:to>
      <xdr:col>11</xdr:col>
      <xdr:colOff>974912</xdr:colOff>
      <xdr:row>45</xdr:row>
      <xdr:rowOff>123264</xdr:rowOff>
    </xdr:to>
    <xdr:sp macro="" textlink="">
      <xdr:nvSpPr>
        <xdr:cNvPr id="3" name="CuadroTexto 2"/>
        <xdr:cNvSpPr txBox="1"/>
      </xdr:nvSpPr>
      <xdr:spPr>
        <a:xfrm>
          <a:off x="67235" y="907676"/>
          <a:ext cx="11060206" cy="802341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junio de 2015, los egresos del SDSS ascienden a  RD$ 476,944,367,745.85,  los cuales han sido desembolsado a diferentes entidades que componen el sistema, como se detalla a continuación:</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pagados al Seguro Familiar de Salud (SFS) del RC en el período comprendido entre septiembre de 2007,  fecha en que inició dicho seguro, hasta junio de 2015 asciende a RD$184,824,272,223.99 de los cuales un 93.72% fue asignado para el cuidado de la salud; 0.74% para cubrir el Fondo Nacional de Atenciones Médicas por Accidentes de Tránsito (FONAMAT); un 4.35% fue asignado a la Cuenta de Subsidios (Enfermedad Común, Maternidad y Lactancia); 0.62% pagado como comisión a SISALRIL y un 0.57% destinado para cubrir los servicios de las Estancias Infantiles los cuales iniciaron en junio de 2009.  Los fondos desembolsado para el SFS del RC en el año 2014 fueron superiores a los del 2013 en un 12.12%, pagándose un total de RD$33,462,601,727.63.    </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junio 2015 fue de RD$2,836,767,140.83  distribuidos de la siguiente manera: el 77.14% del dinero fue pagado a las cuatro ARS que poseen el mayor número de afiliados (ARS Humano 34.99%; SENASA Contributivo 14.34; Palic Salud 15.73%; Universal 11.97%),  el restante 22.86% de los fondos se distribuye entre las 18 ARS restantes.   El monto total pagado a las ARS desde 2007- junio 2015 alcanza la suma de  RD$174,582,317,357.63  para cubrir el Plan de Servicios de Salud (PDSS) y el Fondo de Atenciones Médicas por Accidentes  de Tránsito (FONAMAT).</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En cuanto a las inversiones de los fondos acumulados en  la Cuenta del Cuidado de la Salud del RC, al mes de junio 2015, RD$ 6,990,886,272.24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Desde el inicio de este seguro en noviembre de 2002 hasta el mes de junio 2015 el gobierno ha transferido al sistema según lo presupuestado anualmente la suma de  RD$36,200,508,734.00,  para cubrir la afiliación al Seguro Familiar de Salud de los ciudadanos con menos ingresos del país, así como las personas que viven con discapacidad, personas VIH positivas y trabajadores por cuenta propia con ingresos inestables e inferiores al salario mínimo nacional; y RD$36,280,004,840.25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El Régimen Especial Transitorio de Salud de implemento en junio 2009 para el servicio de salud de los pensionados y jubilados afiliados, establecido por el decreto 342-09.  De julio 2010 hasta junio 2015 el monto total pagado a las Administradoras de Riesgos de Salud (ARS)  (Salud Segura, SEMMA y SENASA), fue de RD$1,570,549,408.48 .  De enero a junio 2015, se pagó un total de RD$167,965,296.20 de los cuales el 39% fue pagado  a la ARS Salud Segura; el 48% a SENASA y el 13% a SEMMA.  </a:t>
          </a:r>
        </a:p>
      </xdr:txBody>
    </xdr:sp>
    <xdr:clientData/>
  </xdr:twoCellAnchor>
  <xdr:twoCellAnchor editAs="oneCell">
    <xdr:from>
      <xdr:col>0</xdr:col>
      <xdr:colOff>403416</xdr:colOff>
      <xdr:row>0</xdr:row>
      <xdr:rowOff>154935</xdr:rowOff>
    </xdr:from>
    <xdr:to>
      <xdr:col>1</xdr:col>
      <xdr:colOff>347384</xdr:colOff>
      <xdr:row>2</xdr:row>
      <xdr:rowOff>126422</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3416" y="154935"/>
          <a:ext cx="705968" cy="509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10</xdr:row>
      <xdr:rowOff>54427</xdr:rowOff>
    </xdr:from>
    <xdr:to>
      <xdr:col>12</xdr:col>
      <xdr:colOff>402957</xdr:colOff>
      <xdr:row>54</xdr:row>
      <xdr:rowOff>11132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588817</xdr:colOff>
      <xdr:row>0</xdr:row>
      <xdr:rowOff>1246909</xdr:rowOff>
    </xdr:to>
    <xdr:sp macro="" textlink="">
      <xdr:nvSpPr>
        <xdr:cNvPr id="5" name="4 Rectángulo redondeado"/>
        <xdr:cNvSpPr/>
      </xdr:nvSpPr>
      <xdr:spPr>
        <a:xfrm>
          <a:off x="0" y="0"/>
          <a:ext cx="22808044"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a:t>
          </a:r>
        </a:p>
        <a:p>
          <a:pPr algn="ctr" eaLnBrk="1" fontAlgn="auto" latinLnBrk="0" hangingPunct="1"/>
          <a:r>
            <a:rPr lang="es-DO" sz="2000" b="1">
              <a:solidFill>
                <a:schemeClr val="lt1"/>
              </a:solidFill>
              <a:effectLst/>
              <a:latin typeface="+mn-lt"/>
              <a:ea typeface="+mn-ea"/>
              <a:cs typeface="+mn-cs"/>
            </a:rPr>
            <a:t>Fondos Pagados Anualmente por Cuentas al SFS del RC</a:t>
          </a:r>
        </a:p>
        <a:p>
          <a:pPr algn="ctr" eaLnBrk="1" fontAlgn="auto" latinLnBrk="0" hangingPunct="1"/>
          <a:r>
            <a:rPr lang="es-DO" sz="2000" b="1">
              <a:solidFill>
                <a:schemeClr val="lt1"/>
              </a:solidFill>
              <a:effectLst/>
              <a:latin typeface="+mn-lt"/>
              <a:ea typeface="+mn-ea"/>
              <a:cs typeface="+mn-cs"/>
            </a:rPr>
            <a:t>Período: Septiembre 2007 -  Junio 2015</a:t>
          </a:r>
          <a:endParaRPr lang="es-DO" sz="3200">
            <a:effectLst/>
          </a:endParaRPr>
        </a:p>
      </xdr:txBody>
    </xdr:sp>
    <xdr:clientData/>
  </xdr:twoCellAnchor>
  <xdr:twoCellAnchor editAs="oneCell">
    <xdr:from>
      <xdr:col>0</xdr:col>
      <xdr:colOff>1047750</xdr:colOff>
      <xdr:row>0</xdr:row>
      <xdr:rowOff>231321</xdr:rowOff>
    </xdr:from>
    <xdr:to>
      <xdr:col>1</xdr:col>
      <xdr:colOff>83093</xdr:colOff>
      <xdr:row>0</xdr:row>
      <xdr:rowOff>857250</xdr:rowOff>
    </xdr:to>
    <xdr:pic>
      <xdr:nvPicPr>
        <xdr:cNvPr id="6" name="5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0" y="231321"/>
          <a:ext cx="909418" cy="625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978477</xdr:colOff>
      <xdr:row>0</xdr:row>
      <xdr:rowOff>231321</xdr:rowOff>
    </xdr:from>
    <xdr:to>
      <xdr:col>1</xdr:col>
      <xdr:colOff>183077</xdr:colOff>
      <xdr:row>0</xdr:row>
      <xdr:rowOff>1012283</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8477" y="231321"/>
          <a:ext cx="1082386" cy="780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123265</xdr:rowOff>
    </xdr:from>
    <xdr:to>
      <xdr:col>12</xdr:col>
      <xdr:colOff>717177</xdr:colOff>
      <xdr:row>34</xdr:row>
      <xdr:rowOff>104775</xdr:rowOff>
    </xdr:to>
    <xdr:sp macro="" textlink="">
      <xdr:nvSpPr>
        <xdr:cNvPr id="2" name="1 CuadroTexto"/>
        <xdr:cNvSpPr txBox="1"/>
      </xdr:nvSpPr>
      <xdr:spPr>
        <a:xfrm>
          <a:off x="0" y="742390"/>
          <a:ext cx="10270752" cy="599178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aseline="0">
              <a:solidFill>
                <a:schemeClr val="dk1"/>
              </a:solidFill>
              <a:effectLst/>
              <a:latin typeface="+mn-lt"/>
              <a:ea typeface="+mn-ea"/>
              <a:cs typeface="+mn-cs"/>
            </a:rPr>
            <a:t>Conforme a los datos registrados en el Sistema Único de Información y Recaudo (SUIR),  al  finalizar el año 2008 el total de empresas registradas en el Sistema Dominicano de Seguridad Social era de 41,757, de las cuales 41,379 pertenecían al sector privado y 378 instituciones públicas (incluyendo 74  públicas centralizadas).  El total de empresas privadas constituían el 99.1% del total.  En cuanto al total de empleados afiliados en ese mismo período fue de 1,188,229, de los cuales 863,333 pertenecían al sector privado, representando el 72.7% y 324,896 del sector público.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Las estadísticas procesadas reflejan al mes de junio 2015 un total de 68,504 unidades activas, se observa que desde diciembre 2008 a junio 2015 el registro creció 1.64 veces,  con un crecimiento promedio anual es de 7.9%.  La cantidad total de empleados afiliados activos al SDSS presenta un comportamiento similar al de las empresas, alcanzando un total de 1,706,784 a junio 2015.  </a:t>
          </a:r>
        </a:p>
        <a:p>
          <a:endParaRPr lang="es-DO" sz="1400" baseline="0">
            <a:solidFill>
              <a:schemeClr val="dk1"/>
            </a:solidFill>
            <a:effectLst/>
            <a:latin typeface="+mn-lt"/>
            <a:ea typeface="+mn-ea"/>
            <a:cs typeface="+mn-cs"/>
          </a:endParaRPr>
        </a:p>
        <a:p>
          <a:r>
            <a:rPr lang="es-DO" sz="1400" baseline="0">
              <a:solidFill>
                <a:sysClr val="windowText" lastClr="000000"/>
              </a:solidFill>
              <a:effectLst/>
              <a:latin typeface="+mn-lt"/>
              <a:ea typeface="+mn-ea"/>
              <a:cs typeface="+mn-cs"/>
            </a:rPr>
            <a:t>Las cifras dan cuenta que la mayoría de las entidades registradas tienen entre uno y cinco empleados, representando el 58.5% del total de organismos activos.  Dicho grupo, constituido por 40,107 unidades, cuenta con un total de 102,540 trabajadores, lo que representa el 6% de los asalariados afiliados.  Mientras que el número de empresas que poseen de 1 a 20 empleados representa un 87.3% del total.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Es importante destacar que existen tres (3) instituciones de gran tamaño, que emplean un total de 231,837 personas, y su empleomanía representa el 13.6%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400" baseline="0">
              <a:solidFill>
                <a:schemeClr val="dk1"/>
              </a:solidFill>
              <a:effectLst/>
              <a:latin typeface="+mn-lt"/>
              <a:ea typeface="+mn-ea"/>
              <a:cs typeface="+mn-cs"/>
            </a:rPr>
            <a:t> </a:t>
          </a:r>
        </a:p>
        <a:p>
          <a:r>
            <a:rPr lang="es-DO" sz="1400" baseline="0">
              <a:solidFill>
                <a:schemeClr val="dk1"/>
              </a:solidFill>
              <a:effectLst/>
              <a:latin typeface="+mn-lt"/>
              <a:ea typeface="+mn-ea"/>
              <a:cs typeface="+mn-cs"/>
            </a:rPr>
            <a:t>El salario promedio registrado por las empresas por sector económico al mes de junio de 2015 es de RD$ 16,520.22 para el sector privado;  RD$21,523.51 para el sector público y de RD$24,006.72 para el público centralizado.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De acuerdo a la composición por edad de los afiliados al SDSS, al mes de junio de 2015 la mayor cantidad se concentra en el tramo de los grupos que se sitúan entre los 20 y los 54 años, los cuales representan 85.7%.  Por otro lado aunque la participación de los hombres es mayor que las mujeres en todos los rangos de edad, entre las edades de 20 a 59 años el índice de masculinidad es en promedio de 1.23;  en los grupos de 60 y más es de 1.94.</a:t>
          </a:r>
        </a:p>
        <a:p>
          <a:r>
            <a:rPr lang="es-DO" sz="1400" baseline="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13</xdr:col>
      <xdr:colOff>0</xdr:colOff>
      <xdr:row>3</xdr:row>
      <xdr:rowOff>81643</xdr:rowOff>
    </xdr:to>
    <xdr:sp macro="" textlink="">
      <xdr:nvSpPr>
        <xdr:cNvPr id="3" name="2 Rectángulo redondeado"/>
        <xdr:cNvSpPr/>
      </xdr:nvSpPr>
      <xdr:spPr>
        <a:xfrm>
          <a:off x="0" y="0"/>
          <a:ext cx="10042071" cy="6531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201706</xdr:colOff>
      <xdr:row>0</xdr:row>
      <xdr:rowOff>44824</xdr:rowOff>
    </xdr:from>
    <xdr:to>
      <xdr:col>1</xdr:col>
      <xdr:colOff>136511</xdr:colOff>
      <xdr:row>2</xdr:row>
      <xdr:rowOff>156883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01706" y="44824"/>
          <a:ext cx="696805"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0.05045</cdr:x>
      <cdr:y>0.9335</cdr:y>
    </cdr:from>
    <cdr:to>
      <cdr:x>0.18406</cdr:x>
      <cdr:y>0.98064</cdr:y>
    </cdr:to>
    <cdr:sp macro="" textlink="">
      <cdr:nvSpPr>
        <cdr:cNvPr id="2" name="1 CuadroTexto"/>
        <cdr:cNvSpPr txBox="1"/>
      </cdr:nvSpPr>
      <cdr:spPr>
        <a:xfrm xmlns:a="http://schemas.openxmlformats.org/drawingml/2006/main">
          <a:off x="806629" y="6528983"/>
          <a:ext cx="2136209" cy="329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0</xdr:colOff>
      <xdr:row>18</xdr:row>
      <xdr:rowOff>176893</xdr:rowOff>
    </xdr:from>
    <xdr:to>
      <xdr:col>10</xdr:col>
      <xdr:colOff>1374321</xdr:colOff>
      <xdr:row>44</xdr:row>
      <xdr:rowOff>108856</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 Junio 2014  - Junio  2015</a:t>
          </a:r>
          <a:endParaRPr lang="es-DO" sz="2800">
            <a:effectLst/>
          </a:endParaRPr>
        </a:p>
      </xdr:txBody>
    </xdr:sp>
    <xdr:clientData/>
  </xdr:twoCellAnchor>
  <xdr:twoCellAnchor editAs="oneCell">
    <xdr:from>
      <xdr:col>0</xdr:col>
      <xdr:colOff>489857</xdr:colOff>
      <xdr:row>0</xdr:row>
      <xdr:rowOff>408214</xdr:rowOff>
    </xdr:from>
    <xdr:to>
      <xdr:col>1</xdr:col>
      <xdr:colOff>201938</xdr:colOff>
      <xdr:row>0</xdr:row>
      <xdr:rowOff>874939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408214"/>
          <a:ext cx="705402"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179294</xdr:colOff>
      <xdr:row>34</xdr:row>
      <xdr:rowOff>56030</xdr:rowOff>
    </xdr:from>
    <xdr:to>
      <xdr:col>11</xdr:col>
      <xdr:colOff>987136</xdr:colOff>
      <xdr:row>81</xdr:row>
      <xdr:rowOff>34635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33618</xdr:colOff>
      <xdr:row>0</xdr:row>
      <xdr:rowOff>1030941</xdr:rowOff>
    </xdr:to>
    <xdr:sp macro="" textlink="">
      <xdr:nvSpPr>
        <xdr:cNvPr id="3" name="3 Rectángulo redondeado"/>
        <xdr:cNvSpPr/>
      </xdr:nvSpPr>
      <xdr:spPr>
        <a:xfrm>
          <a:off x="0" y="0"/>
          <a:ext cx="14220265"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Junio 2015</a:t>
          </a:r>
          <a:endParaRPr lang="es-DO" sz="2400">
            <a:effectLst/>
          </a:endParaRPr>
        </a:p>
      </xdr:txBody>
    </xdr:sp>
    <xdr:clientData/>
  </xdr:twoCellAnchor>
  <xdr:twoCellAnchor editAs="oneCell">
    <xdr:from>
      <xdr:col>1</xdr:col>
      <xdr:colOff>851647</xdr:colOff>
      <xdr:row>0</xdr:row>
      <xdr:rowOff>201706</xdr:rowOff>
    </xdr:from>
    <xdr:to>
      <xdr:col>1</xdr:col>
      <xdr:colOff>1581514</xdr:colOff>
      <xdr:row>0</xdr:row>
      <xdr:rowOff>683560</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1647" y="201706"/>
          <a:ext cx="729867" cy="481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0.14136</cdr:x>
      <cdr:y>0.96937</cdr:y>
    </cdr:from>
    <cdr:to>
      <cdr:x>0.21433</cdr:x>
      <cdr:y>0.99256</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965965" y="8897470"/>
          <a:ext cx="1014799" cy="212912"/>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0.33549</cdr:x>
      <cdr:y>0.06093</cdr:y>
    </cdr:from>
    <cdr:to>
      <cdr:x>0.81549</cdr:x>
      <cdr:y>0.09772</cdr:y>
    </cdr:to>
    <cdr:sp macro="" textlink="">
      <cdr:nvSpPr>
        <cdr:cNvPr id="9" name="8 CuadroTexto"/>
        <cdr:cNvSpPr txBox="1"/>
      </cdr:nvSpPr>
      <cdr:spPr>
        <a:xfrm xmlns:a="http://schemas.openxmlformats.org/drawingml/2006/main">
          <a:off x="4594411" y="559254"/>
          <a:ext cx="6573403" cy="33768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baseline="0">
              <a:effectLst/>
              <a:latin typeface="+mn-lt"/>
              <a:ea typeface="+mn-ea"/>
              <a:cs typeface="+mn-cs"/>
            </a:rPr>
            <a:t>          </a:t>
          </a:r>
          <a:r>
            <a:rPr lang="en-US" sz="1100"/>
            <a:t> No existen                      </a:t>
          </a:r>
        </a:p>
      </cdr:txBody>
    </cdr:sp>
  </cdr:relSizeAnchor>
  <cdr:relSizeAnchor xmlns:cdr="http://schemas.openxmlformats.org/drawingml/2006/chartDrawing">
    <cdr:from>
      <cdr:x>0.65489</cdr:x>
      <cdr:y>0.07241</cdr:y>
    </cdr:from>
    <cdr:to>
      <cdr:x>0.67629</cdr:x>
      <cdr:y>0.08564</cdr:y>
    </cdr:to>
    <cdr:sp macro="" textlink="">
      <cdr:nvSpPr>
        <cdr:cNvPr id="10" name="9 Rectángulo"/>
        <cdr:cNvSpPr/>
      </cdr:nvSpPr>
      <cdr:spPr>
        <a:xfrm xmlns:a="http://schemas.openxmlformats.org/drawingml/2006/main" flipH="1" flipV="1">
          <a:off x="8858314" y="664609"/>
          <a:ext cx="289468" cy="121433"/>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0.44292</cdr:x>
      <cdr:y>0.0739</cdr:y>
    </cdr:from>
    <cdr:to>
      <cdr:x>0.46432</cdr:x>
      <cdr:y>0.08713</cdr:y>
    </cdr:to>
    <cdr:sp macro="" textlink="">
      <cdr:nvSpPr>
        <cdr:cNvPr id="12" name="9 Rectángulo"/>
        <cdr:cNvSpPr/>
      </cdr:nvSpPr>
      <cdr:spPr>
        <a:xfrm xmlns:a="http://schemas.openxmlformats.org/drawingml/2006/main" flipH="1" flipV="1">
          <a:off x="6001123" y="678329"/>
          <a:ext cx="289947" cy="121433"/>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0.543</cdr:x>
      <cdr:y>0.07268</cdr:y>
    </cdr:from>
    <cdr:to>
      <cdr:x>0.5644</cdr:x>
      <cdr:y>0.08591</cdr:y>
    </cdr:to>
    <cdr:sp macro="" textlink="">
      <cdr:nvSpPr>
        <cdr:cNvPr id="13" name="9 Rectángulo"/>
        <cdr:cNvSpPr/>
      </cdr:nvSpPr>
      <cdr:spPr>
        <a:xfrm xmlns:a="http://schemas.openxmlformats.org/drawingml/2006/main" flipH="1" flipV="1">
          <a:off x="7357035" y="667123"/>
          <a:ext cx="289947" cy="12143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1</xdr:row>
      <xdr:rowOff>81643</xdr:rowOff>
    </xdr:from>
    <xdr:to>
      <xdr:col>8</xdr:col>
      <xdr:colOff>2000250</xdr:colOff>
      <xdr:row>52</xdr:row>
      <xdr:rowOff>68037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12</xdr:col>
      <xdr:colOff>1</xdr:colOff>
      <xdr:row>0</xdr:row>
      <xdr:rowOff>1088570</xdr:rowOff>
    </xdr:to>
    <xdr:sp macro="" textlink="">
      <xdr:nvSpPr>
        <xdr:cNvPr id="3" name="3 Rectángulo redondeado"/>
        <xdr:cNvSpPr/>
      </xdr:nvSpPr>
      <xdr:spPr>
        <a:xfrm>
          <a:off x="1" y="0"/>
          <a:ext cx="14944725"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Junio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0.05316</cdr:x>
      <cdr:y>0.93771</cdr:y>
    </cdr:from>
    <cdr:to>
      <cdr:x>0.25951</cdr:x>
      <cdr:y>0.97167</cdr:y>
    </cdr:to>
    <cdr:sp macro="" textlink="">
      <cdr:nvSpPr>
        <cdr:cNvPr id="2" name="1 CuadroTexto"/>
        <cdr:cNvSpPr txBox="1"/>
      </cdr:nvSpPr>
      <cdr:spPr>
        <a:xfrm xmlns:a="http://schemas.openxmlformats.org/drawingml/2006/main">
          <a:off x="785564" y="8906150"/>
          <a:ext cx="3049308" cy="3225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TSS</a:t>
          </a:r>
        </a:p>
      </cdr:txBody>
    </cdr:sp>
  </cdr:relSizeAnchor>
  <cdr:relSizeAnchor xmlns:cdr="http://schemas.openxmlformats.org/drawingml/2006/chartDrawing">
    <cdr:from>
      <cdr:x>0.23529</cdr:x>
      <cdr:y>0.02374</cdr:y>
    </cdr:from>
    <cdr:to>
      <cdr:x>0.26239</cdr:x>
      <cdr:y>0.03675</cdr:y>
    </cdr:to>
    <cdr:sp macro="" textlink="">
      <cdr:nvSpPr>
        <cdr:cNvPr id="4" name="7 Rectángulo"/>
        <cdr:cNvSpPr/>
      </cdr:nvSpPr>
      <cdr:spPr>
        <a:xfrm xmlns:a="http://schemas.openxmlformats.org/drawingml/2006/main">
          <a:off x="3243254" y="227738"/>
          <a:ext cx="373548" cy="12480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0.26548</cdr:x>
      <cdr:y>0.01093</cdr:y>
    </cdr:from>
    <cdr:to>
      <cdr:x>0.81916</cdr:x>
      <cdr:y>0.04613</cdr:y>
    </cdr:to>
    <cdr:sp macro="" textlink="">
      <cdr:nvSpPr>
        <cdr:cNvPr id="5" name="8 CuadroTexto"/>
        <cdr:cNvSpPr txBox="1"/>
      </cdr:nvSpPr>
      <cdr:spPr>
        <a:xfrm xmlns:a="http://schemas.openxmlformats.org/drawingml/2006/main">
          <a:off x="3016423" y="107244"/>
          <a:ext cx="6290859" cy="34533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a:t>                     </a:t>
          </a:r>
        </a:p>
      </cdr:txBody>
    </cdr:sp>
  </cdr:relSizeAnchor>
  <cdr:relSizeAnchor xmlns:cdr="http://schemas.openxmlformats.org/drawingml/2006/chartDrawing">
    <cdr:from>
      <cdr:x>0.56647</cdr:x>
      <cdr:y>0.02084</cdr:y>
    </cdr:from>
    <cdr:to>
      <cdr:x>0.59357</cdr:x>
      <cdr:y>0.03386</cdr:y>
    </cdr:to>
    <cdr:sp macro="" textlink="">
      <cdr:nvSpPr>
        <cdr:cNvPr id="6" name="7 Rectángulo"/>
        <cdr:cNvSpPr/>
      </cdr:nvSpPr>
      <cdr:spPr>
        <a:xfrm xmlns:a="http://schemas.openxmlformats.org/drawingml/2006/main">
          <a:off x="6790727" y="198775"/>
          <a:ext cx="324873" cy="12419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0.39974</cdr:x>
      <cdr:y>0.0209</cdr:y>
    </cdr:from>
    <cdr:to>
      <cdr:x>0.42685</cdr:x>
      <cdr:y>0.03391</cdr:y>
    </cdr:to>
    <cdr:sp macro="" textlink="">
      <cdr:nvSpPr>
        <cdr:cNvPr id="7" name="7 Rectángulo"/>
        <cdr:cNvSpPr/>
      </cdr:nvSpPr>
      <cdr:spPr>
        <a:xfrm xmlns:a="http://schemas.openxmlformats.org/drawingml/2006/main">
          <a:off x="5510047" y="200458"/>
          <a:ext cx="373685" cy="124805"/>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Junio 2015</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8</xdr:row>
      <xdr:rowOff>122464</xdr:rowOff>
    </xdr:from>
    <xdr:to>
      <xdr:col>9</xdr:col>
      <xdr:colOff>612321</xdr:colOff>
      <xdr:row>47</xdr:row>
      <xdr:rowOff>108856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12</xdr:row>
      <xdr:rowOff>104774</xdr:rowOff>
    </xdr:from>
    <xdr:to>
      <xdr:col>10</xdr:col>
      <xdr:colOff>544285</xdr:colOff>
      <xdr:row>49</xdr:row>
      <xdr:rowOff>68036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639536</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Junio 2015</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17</xdr:row>
      <xdr:rowOff>122463</xdr:rowOff>
    </xdr:from>
    <xdr:to>
      <xdr:col>11</xdr:col>
      <xdr:colOff>917863</xdr:colOff>
      <xdr:row>61</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Aporte  del Gobierno Central y Pago a SENASA</a:t>
          </a:r>
        </a:p>
        <a:p>
          <a:pPr algn="ctr" eaLnBrk="1" fontAlgn="auto" latinLnBrk="0" hangingPunct="1"/>
          <a:r>
            <a:rPr lang="es-DO" sz="1800" b="1">
              <a:solidFill>
                <a:schemeClr val="lt1"/>
              </a:solidFill>
              <a:effectLst/>
              <a:latin typeface="+mn-lt"/>
              <a:ea typeface="+mn-ea"/>
              <a:cs typeface="+mn-cs"/>
            </a:rPr>
            <a:t>Período: 2003 - Junio 2015</a:t>
          </a:r>
          <a:endParaRPr lang="es-DO" sz="28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476250</xdr:colOff>
      <xdr:row>0</xdr:row>
      <xdr:rowOff>258536</xdr:rowOff>
    </xdr:from>
    <xdr:to>
      <xdr:col>0</xdr:col>
      <xdr:colOff>1228725</xdr:colOff>
      <xdr:row>0</xdr:row>
      <xdr:rowOff>801461</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ilma.Santana/Downloads/srl.a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row r="5">
          <cell r="E5">
            <v>8855026</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L.A5"/>
    </sheetNames>
    <sheetDataSet>
      <sheetData sheetId="0">
        <row r="1303">
          <cell r="D1303">
            <v>23743</v>
          </cell>
        </row>
        <row r="1304">
          <cell r="D1304">
            <v>211342</v>
          </cell>
        </row>
        <row r="1305">
          <cell r="D1305">
            <v>265407</v>
          </cell>
        </row>
        <row r="1306">
          <cell r="D1306">
            <v>253371</v>
          </cell>
        </row>
        <row r="1307">
          <cell r="D1307">
            <v>232424</v>
          </cell>
        </row>
        <row r="1308">
          <cell r="D1308">
            <v>196505</v>
          </cell>
        </row>
        <row r="1309">
          <cell r="D1309">
            <v>169767</v>
          </cell>
        </row>
        <row r="1310">
          <cell r="D1310">
            <v>133110</v>
          </cell>
        </row>
        <row r="1311">
          <cell r="D1311">
            <v>95277</v>
          </cell>
        </row>
        <row r="1312">
          <cell r="D1312">
            <v>60506</v>
          </cell>
        </row>
        <row r="1313">
          <cell r="D1313">
            <v>33343</v>
          </cell>
        </row>
        <row r="1314">
          <cell r="D1314">
            <v>16184</v>
          </cell>
        </row>
        <row r="1315">
          <cell r="D1315">
            <v>8901</v>
          </cell>
        </row>
        <row r="1316">
          <cell r="D1316">
            <v>4197</v>
          </cell>
        </row>
        <row r="1317">
          <cell r="D1317">
            <v>2707</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5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5.xml"/><Relationship Id="rId1" Type="http://schemas.openxmlformats.org/officeDocument/2006/relationships/printerSettings" Target="../printerSettings/printerSettings86.bin"/><Relationship Id="rId4" Type="http://schemas.openxmlformats.org/officeDocument/2006/relationships/comments" Target="../comments1.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7.xml"/><Relationship Id="rId1" Type="http://schemas.openxmlformats.org/officeDocument/2006/relationships/printerSettings" Target="../printerSettings/printerSettings87.bin"/><Relationship Id="rId4" Type="http://schemas.openxmlformats.org/officeDocument/2006/relationships/comments" Target="../comments2.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9.xml"/><Relationship Id="rId1" Type="http://schemas.openxmlformats.org/officeDocument/2006/relationships/printerSettings" Target="../printerSettings/printerSettings88.bin"/><Relationship Id="rId4" Type="http://schemas.openxmlformats.org/officeDocument/2006/relationships/comments" Target="../comments3.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
  <sheetViews>
    <sheetView showGridLines="0" tabSelected="1" view="pageBreakPreview" zoomScale="40" zoomScaleNormal="100" zoomScaleSheetLayoutView="40" workbookViewId="0">
      <selection activeCell="P69" sqref="P69"/>
    </sheetView>
  </sheetViews>
  <sheetFormatPr baseColWidth="10" defaultColWidth="15.140625" defaultRowHeight="15"/>
  <cols>
    <col min="1" max="1" width="17.28515625" style="77" customWidth="1"/>
    <col min="2" max="5" width="15.140625" style="77"/>
    <col min="6" max="6" width="22.28515625" style="77" customWidth="1"/>
    <col min="7" max="7" width="15.140625" style="77"/>
    <col min="8" max="8" width="19.85546875" style="77" customWidth="1"/>
    <col min="9" max="9" width="15.140625" style="77"/>
    <col min="10" max="10" width="24.140625" style="77" customWidth="1"/>
    <col min="11" max="11" width="24.28515625" style="77" customWidth="1"/>
    <col min="12" max="12" width="23.28515625" style="77" customWidth="1"/>
    <col min="13" max="13" width="27" style="77" customWidth="1"/>
    <col min="14" max="16384" width="15.140625" style="7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P37"/>
  <sheetViews>
    <sheetView showGridLines="0" view="pageBreakPreview" zoomScale="85" zoomScaleNormal="85" zoomScaleSheetLayoutView="85" workbookViewId="0">
      <selection activeCell="M4" sqref="M4"/>
    </sheetView>
  </sheetViews>
  <sheetFormatPr baseColWidth="10" defaultColWidth="11.42578125" defaultRowHeight="45.75" customHeight="1"/>
  <cols>
    <col min="1" max="1" width="11" style="1156" customWidth="1"/>
    <col min="2" max="2" width="12.42578125" style="1156" customWidth="1"/>
    <col min="3" max="3" width="11.7109375" style="1156" customWidth="1"/>
    <col min="4" max="4" width="15.7109375" style="1156" customWidth="1"/>
    <col min="5" max="5" width="14.140625" style="1156" customWidth="1"/>
    <col min="6" max="6" width="13.7109375" style="1156" customWidth="1"/>
    <col min="7" max="7" width="12.85546875" style="1156" customWidth="1"/>
    <col min="8" max="8" width="16.5703125" style="1156" customWidth="1"/>
    <col min="9" max="9" width="15.28515625" style="1156" customWidth="1"/>
    <col min="10" max="10" width="20.5703125" style="1156" customWidth="1"/>
    <col min="11" max="11" width="8" style="1156" customWidth="1"/>
    <col min="12" max="12" width="11.42578125" style="1156"/>
    <col min="13" max="13" width="13" style="1156" customWidth="1"/>
    <col min="14" max="14" width="16.140625" style="1156" customWidth="1"/>
    <col min="15" max="15" width="5" style="1156" customWidth="1"/>
    <col min="16" max="16" width="9.140625" style="1156" customWidth="1"/>
    <col min="17" max="16384" width="11.42578125" style="1156"/>
  </cols>
  <sheetData>
    <row r="2" spans="1:16" s="45" customFormat="1" ht="36.75" customHeight="1">
      <c r="A2" s="1829" t="s">
        <v>473</v>
      </c>
      <c r="B2" s="1829"/>
      <c r="C2" s="1829"/>
      <c r="D2" s="1829"/>
      <c r="E2" s="1829"/>
      <c r="F2" s="1829"/>
      <c r="G2" s="1829"/>
      <c r="H2" s="1829"/>
      <c r="I2" s="1829"/>
      <c r="J2" s="1829"/>
      <c r="K2" s="1829"/>
      <c r="P2" s="1247"/>
    </row>
    <row r="3" spans="1:16" s="299" customFormat="1" ht="48.75" customHeight="1">
      <c r="A3" s="867" t="s">
        <v>25</v>
      </c>
      <c r="B3" s="867" t="s">
        <v>226</v>
      </c>
      <c r="C3" s="871" t="s">
        <v>235</v>
      </c>
      <c r="D3" s="871" t="s">
        <v>236</v>
      </c>
      <c r="E3" s="1345" t="s">
        <v>165</v>
      </c>
      <c r="F3" s="871" t="s">
        <v>237</v>
      </c>
      <c r="G3" s="871" t="s">
        <v>238</v>
      </c>
      <c r="H3" s="871" t="s">
        <v>239</v>
      </c>
      <c r="I3" s="1345" t="s">
        <v>166</v>
      </c>
      <c r="J3" s="872" t="s">
        <v>240</v>
      </c>
      <c r="K3" s="297"/>
      <c r="L3" s="298"/>
    </row>
    <row r="4" spans="1:16" ht="15.75">
      <c r="A4" s="868" t="s">
        <v>486</v>
      </c>
      <c r="B4" s="1402">
        <v>41379</v>
      </c>
      <c r="C4" s="1403">
        <v>304</v>
      </c>
      <c r="D4" s="1403">
        <v>74</v>
      </c>
      <c r="E4" s="1404">
        <f t="shared" ref="E4:E10" si="0">+D4+C4+B4</f>
        <v>41757</v>
      </c>
      <c r="F4" s="1405">
        <v>863333</v>
      </c>
      <c r="G4" s="1405">
        <v>123254</v>
      </c>
      <c r="H4" s="1405">
        <v>201642</v>
      </c>
      <c r="I4" s="1404">
        <f t="shared" ref="I4:I11" si="1">+H4+G4+F4</f>
        <v>1188229</v>
      </c>
      <c r="J4" s="1406">
        <f>I4/E4</f>
        <v>28.455803817324043</v>
      </c>
      <c r="K4" s="110"/>
      <c r="L4" s="218"/>
      <c r="M4" s="221"/>
      <c r="N4" s="1155"/>
      <c r="P4" s="1274"/>
    </row>
    <row r="5" spans="1:16" ht="15.75">
      <c r="A5" s="869" t="s">
        <v>434</v>
      </c>
      <c r="B5" s="1407">
        <v>41179</v>
      </c>
      <c r="C5" s="1408">
        <v>412</v>
      </c>
      <c r="D5" s="1408">
        <v>80</v>
      </c>
      <c r="E5" s="1409">
        <f t="shared" si="0"/>
        <v>41671</v>
      </c>
      <c r="F5" s="1410">
        <v>869750</v>
      </c>
      <c r="G5" s="1410">
        <v>148220</v>
      </c>
      <c r="H5" s="1410">
        <v>209755</v>
      </c>
      <c r="I5" s="1409">
        <f t="shared" si="1"/>
        <v>1227725</v>
      </c>
      <c r="J5" s="1411">
        <f t="shared" ref="J5:J10" si="2">I5/E5</f>
        <v>29.462335917064625</v>
      </c>
      <c r="K5" s="110"/>
      <c r="L5" s="165"/>
      <c r="M5" s="220"/>
      <c r="N5" s="1155"/>
      <c r="P5" s="1274"/>
    </row>
    <row r="6" spans="1:16" ht="13.5" customHeight="1">
      <c r="A6" s="869" t="s">
        <v>435</v>
      </c>
      <c r="B6" s="1407">
        <v>43682</v>
      </c>
      <c r="C6" s="1408">
        <v>418</v>
      </c>
      <c r="D6" s="1408">
        <v>79</v>
      </c>
      <c r="E6" s="1409">
        <f t="shared" si="0"/>
        <v>44179</v>
      </c>
      <c r="F6" s="1410">
        <v>943828</v>
      </c>
      <c r="G6" s="1410">
        <v>136553</v>
      </c>
      <c r="H6" s="1410">
        <v>218706</v>
      </c>
      <c r="I6" s="1409">
        <f t="shared" si="1"/>
        <v>1299087</v>
      </c>
      <c r="J6" s="1411">
        <f t="shared" si="2"/>
        <v>29.405079336336268</v>
      </c>
      <c r="K6" s="1157"/>
      <c r="L6" s="165"/>
      <c r="M6" s="182"/>
      <c r="N6" s="1155"/>
      <c r="P6" s="1274"/>
    </row>
    <row r="7" spans="1:16" ht="15" customHeight="1">
      <c r="A7" s="869" t="s">
        <v>436</v>
      </c>
      <c r="B7" s="1407">
        <v>46674</v>
      </c>
      <c r="C7" s="1408">
        <v>469</v>
      </c>
      <c r="D7" s="1408">
        <v>79</v>
      </c>
      <c r="E7" s="1409">
        <f t="shared" si="0"/>
        <v>47222</v>
      </c>
      <c r="F7" s="1410">
        <v>996469</v>
      </c>
      <c r="G7" s="1410">
        <v>142319</v>
      </c>
      <c r="H7" s="1410">
        <v>225133</v>
      </c>
      <c r="I7" s="1409">
        <f t="shared" si="1"/>
        <v>1363921</v>
      </c>
      <c r="J7" s="1411">
        <f t="shared" si="2"/>
        <v>28.883168861971114</v>
      </c>
      <c r="K7" s="1157"/>
      <c r="L7" s="182"/>
      <c r="M7" s="167" t="s">
        <v>33</v>
      </c>
      <c r="N7" s="1155"/>
      <c r="P7" s="1274"/>
    </row>
    <row r="8" spans="1:16" ht="13.5" customHeight="1">
      <c r="A8" s="869" t="s">
        <v>487</v>
      </c>
      <c r="B8" s="1407">
        <v>50784</v>
      </c>
      <c r="C8" s="1408">
        <v>488</v>
      </c>
      <c r="D8" s="1408">
        <v>79</v>
      </c>
      <c r="E8" s="1409">
        <f t="shared" si="0"/>
        <v>51351</v>
      </c>
      <c r="F8" s="1412">
        <v>1035050</v>
      </c>
      <c r="G8" s="1412">
        <v>156354</v>
      </c>
      <c r="H8" s="1412">
        <v>236498</v>
      </c>
      <c r="I8" s="1409">
        <f t="shared" si="1"/>
        <v>1427902</v>
      </c>
      <c r="J8" s="1411">
        <f t="shared" si="2"/>
        <v>27.806702887967127</v>
      </c>
      <c r="K8" s="165"/>
      <c r="M8" s="167"/>
      <c r="P8" s="1274"/>
    </row>
    <row r="9" spans="1:16" ht="15" customHeight="1">
      <c r="A9" s="869" t="s">
        <v>546</v>
      </c>
      <c r="B9" s="1407">
        <v>58768</v>
      </c>
      <c r="C9" s="1408">
        <v>489</v>
      </c>
      <c r="D9" s="1408">
        <v>78</v>
      </c>
      <c r="E9" s="1409">
        <f t="shared" si="0"/>
        <v>59335</v>
      </c>
      <c r="F9" s="1412">
        <v>1110841</v>
      </c>
      <c r="G9" s="1412">
        <v>166811</v>
      </c>
      <c r="H9" s="1412">
        <v>249006</v>
      </c>
      <c r="I9" s="1409">
        <f t="shared" si="1"/>
        <v>1526658</v>
      </c>
      <c r="J9" s="1411">
        <f t="shared" si="2"/>
        <v>25.729468273363107</v>
      </c>
      <c r="K9" s="165"/>
      <c r="P9" s="1274"/>
    </row>
    <row r="10" spans="1:16" ht="15" customHeight="1">
      <c r="A10" s="869" t="s">
        <v>586</v>
      </c>
      <c r="B10" s="1407">
        <v>65073</v>
      </c>
      <c r="C10" s="1408">
        <v>519</v>
      </c>
      <c r="D10" s="1408">
        <v>74</v>
      </c>
      <c r="E10" s="1409">
        <f t="shared" si="0"/>
        <v>65666</v>
      </c>
      <c r="F10" s="1412">
        <v>1193568</v>
      </c>
      <c r="G10" s="1412">
        <v>176595</v>
      </c>
      <c r="H10" s="1412">
        <v>281039</v>
      </c>
      <c r="I10" s="1409">
        <f t="shared" si="1"/>
        <v>1651202</v>
      </c>
      <c r="J10" s="1411">
        <f t="shared" si="2"/>
        <v>25.145463405719855</v>
      </c>
      <c r="K10" s="165"/>
      <c r="P10" s="1274"/>
    </row>
    <row r="11" spans="1:16" ht="13.5" customHeight="1">
      <c r="A11" s="870" t="s">
        <v>946</v>
      </c>
      <c r="B11" s="1607">
        <v>67897</v>
      </c>
      <c r="C11" s="1608">
        <v>534</v>
      </c>
      <c r="D11" s="1608">
        <v>73</v>
      </c>
      <c r="E11" s="1609">
        <f>+D11+C11+B11</f>
        <v>68504</v>
      </c>
      <c r="F11" s="1610">
        <v>1237651</v>
      </c>
      <c r="G11" s="1610">
        <v>184686</v>
      </c>
      <c r="H11" s="1610">
        <v>284447</v>
      </c>
      <c r="I11" s="1609">
        <f t="shared" si="1"/>
        <v>1706784</v>
      </c>
      <c r="J11" s="1611">
        <f>I11/E11</f>
        <v>24.915099848184049</v>
      </c>
      <c r="K11" s="1155"/>
      <c r="M11" s="45"/>
    </row>
    <row r="12" spans="1:16" ht="19.5" customHeight="1">
      <c r="A12" s="110"/>
      <c r="B12" s="1158"/>
      <c r="C12" s="1158"/>
      <c r="D12" s="1158"/>
      <c r="E12" s="110"/>
      <c r="F12" s="1159"/>
      <c r="G12" s="1159"/>
      <c r="H12" s="1159"/>
      <c r="O12" s="1245"/>
      <c r="P12" s="1344"/>
    </row>
    <row r="13" spans="1:16" ht="19.5" customHeight="1"/>
    <row r="14" spans="1:16" ht="19.5" customHeight="1">
      <c r="L14" s="168"/>
      <c r="M14" s="169"/>
      <c r="P14" s="1246"/>
    </row>
    <row r="15" spans="1:16" ht="19.5" customHeight="1">
      <c r="L15" s="168"/>
      <c r="M15" s="168"/>
      <c r="P15" s="45"/>
    </row>
    <row r="16" spans="1:16" ht="19.5" customHeight="1">
      <c r="M16" s="168"/>
      <c r="P16" s="1343"/>
    </row>
    <row r="17" spans="12:16" ht="19.5" customHeight="1">
      <c r="M17" s="168"/>
      <c r="P17" s="45"/>
    </row>
    <row r="18" spans="12:16" ht="19.5" customHeight="1">
      <c r="L18" s="167"/>
      <c r="M18" s="168"/>
      <c r="P18" s="45"/>
    </row>
    <row r="19" spans="12:16" ht="19.5" customHeight="1">
      <c r="L19" s="167"/>
      <c r="P19" s="45"/>
    </row>
    <row r="20" spans="12:16" ht="19.5" customHeight="1">
      <c r="L20" s="167"/>
      <c r="P20" s="45"/>
    </row>
    <row r="21" spans="12:16" ht="19.5" customHeight="1">
      <c r="P21" s="45"/>
    </row>
    <row r="22" spans="12:16" ht="19.5" customHeight="1">
      <c r="P22" s="45"/>
    </row>
    <row r="23" spans="12:16" ht="19.5" customHeight="1">
      <c r="L23" s="167"/>
      <c r="P23" s="45"/>
    </row>
    <row r="24" spans="12:16" ht="19.5" customHeight="1">
      <c r="P24" s="45"/>
    </row>
    <row r="25" spans="12:16" ht="19.5" customHeight="1">
      <c r="P25" s="45"/>
    </row>
    <row r="26" spans="12:16" ht="19.5" customHeight="1">
      <c r="P26" s="45"/>
    </row>
    <row r="27" spans="12:16" ht="19.5" customHeight="1"/>
    <row r="28" spans="12:16" ht="19.5" customHeight="1"/>
    <row r="29" spans="12:16" ht="19.5" customHeight="1"/>
    <row r="30" spans="12:16" ht="19.5" customHeight="1"/>
    <row r="31" spans="12:16" ht="19.5" customHeight="1"/>
    <row r="32" spans="12:16"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68" orientation="landscape" r:id="rId1"/>
  <rowBreaks count="1" manualBreakCount="1">
    <brk id="3" max="13"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M12:P42"/>
  <sheetViews>
    <sheetView showGridLines="0" view="pageBreakPreview" zoomScaleNormal="100" zoomScaleSheetLayoutView="100" workbookViewId="0">
      <selection activeCell="J34" sqref="J34:J35"/>
    </sheetView>
  </sheetViews>
  <sheetFormatPr baseColWidth="10" defaultColWidth="11.42578125" defaultRowHeight="15"/>
  <cols>
    <col min="1" max="6" width="11.42578125" style="77"/>
    <col min="7" max="7" width="9.42578125" style="77" customWidth="1"/>
    <col min="8" max="12" width="11.42578125" style="77"/>
    <col min="13" max="13" width="16.28515625" style="77" bestFit="1" customWidth="1"/>
    <col min="14" max="17" width="11.42578125" style="77"/>
    <col min="18" max="18" width="17.85546875" style="77" customWidth="1"/>
    <col min="19" max="16384" width="11.42578125" style="77"/>
  </cols>
  <sheetData>
    <row r="12" spans="13:13" ht="15.75">
      <c r="M12" s="1144"/>
    </row>
    <row r="14" spans="13:13">
      <c r="M14" s="284"/>
    </row>
    <row r="40" spans="14:16">
      <c r="P40" s="165"/>
    </row>
    <row r="41" spans="14:16">
      <c r="P41" s="165"/>
    </row>
    <row r="42" spans="14:16">
      <c r="N42" s="245"/>
    </row>
  </sheetData>
  <pageMargins left="0.7" right="0.7" top="0.75" bottom="0.75" header="0.3" footer="0.3"/>
  <pageSetup scale="99" orientation="landscape" r:id="rId1"/>
  <rowBreaks count="1" manualBreakCount="1">
    <brk id="32" max="1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54"/>
  <sheetViews>
    <sheetView showGridLines="0" view="pageBreakPreview" zoomScale="55" zoomScaleNormal="70" zoomScaleSheetLayoutView="55" workbookViewId="0">
      <selection activeCell="F10" sqref="F10"/>
    </sheetView>
  </sheetViews>
  <sheetFormatPr baseColWidth="10" defaultColWidth="11.5703125" defaultRowHeight="15"/>
  <cols>
    <col min="1" max="1" width="12.28515625" style="1018" customWidth="1"/>
    <col min="2" max="2" width="23.85546875" style="1018" customWidth="1"/>
    <col min="3" max="3" width="20" style="1018" customWidth="1"/>
    <col min="4" max="4" width="27.5703125" style="1018" customWidth="1"/>
    <col min="5" max="5" width="20.7109375" style="1018" customWidth="1"/>
    <col min="6" max="6" width="35.28515625" style="1018" customWidth="1"/>
    <col min="7" max="7" width="33.7109375" style="1018" customWidth="1"/>
    <col min="8" max="8" width="31.7109375" style="1018" customWidth="1"/>
    <col min="9" max="9" width="30" style="1018" customWidth="1"/>
    <col min="10" max="10" width="28.5703125" style="1018" customWidth="1"/>
    <col min="11" max="11" width="23.42578125" style="1018" customWidth="1"/>
    <col min="12" max="12" width="17" style="1018" customWidth="1"/>
    <col min="13" max="13" width="28.7109375" style="1018" customWidth="1"/>
    <col min="14" max="14" width="24.7109375" style="1018" customWidth="1"/>
    <col min="15" max="15" width="29.7109375" style="1018" customWidth="1"/>
    <col min="16" max="16" width="41.42578125" style="1018" customWidth="1"/>
    <col min="17" max="17" width="27.5703125" style="1018" customWidth="1"/>
    <col min="18" max="18" width="25.42578125" style="1018" customWidth="1"/>
    <col min="19" max="16384" width="11.5703125" style="1018"/>
  </cols>
  <sheetData>
    <row r="1" spans="1:9" ht="111" customHeight="1">
      <c r="A1" s="1972"/>
      <c r="B1" s="1972"/>
      <c r="C1" s="1972"/>
      <c r="D1" s="1972"/>
      <c r="E1" s="1972"/>
      <c r="F1" s="1972"/>
      <c r="G1" s="1972"/>
      <c r="H1" s="1972"/>
      <c r="I1" s="1972"/>
    </row>
    <row r="2" spans="1:9" s="1020" customFormat="1" ht="3" customHeight="1">
      <c r="A2" s="1019"/>
      <c r="B2" s="1019"/>
      <c r="C2" s="1019"/>
      <c r="D2" s="1019"/>
      <c r="E2" s="1019"/>
      <c r="F2" s="1019"/>
      <c r="G2" s="1019"/>
    </row>
    <row r="3" spans="1:9" s="1020" customFormat="1" ht="50.25" customHeight="1">
      <c r="A3" s="1143" t="s">
        <v>48</v>
      </c>
      <c r="B3" s="1662" t="s">
        <v>972</v>
      </c>
      <c r="C3" s="1716" t="s">
        <v>684</v>
      </c>
      <c r="D3" s="1663" t="s">
        <v>982</v>
      </c>
      <c r="E3" s="1021"/>
      <c r="F3" s="1019"/>
      <c r="G3" s="1019"/>
    </row>
    <row r="4" spans="1:9" s="1020" customFormat="1" ht="18" customHeight="1">
      <c r="A4" s="1667" t="s">
        <v>934</v>
      </c>
      <c r="B4" s="1717">
        <f t="shared" ref="B4:B15" si="0">+D4/C4</f>
        <v>601</v>
      </c>
      <c r="C4" s="1720">
        <v>2000</v>
      </c>
      <c r="D4" s="1665">
        <v>1202000</v>
      </c>
      <c r="E4" s="1024"/>
      <c r="F4" s="1019"/>
      <c r="G4" s="1019"/>
    </row>
    <row r="5" spans="1:9" s="1020" customFormat="1" ht="18" customHeight="1">
      <c r="A5" s="1668" t="s">
        <v>434</v>
      </c>
      <c r="B5" s="1718">
        <f t="shared" si="0"/>
        <v>1814</v>
      </c>
      <c r="C5" s="1721">
        <v>2000</v>
      </c>
      <c r="D5" s="1661">
        <v>3628000</v>
      </c>
      <c r="E5" s="1025"/>
      <c r="F5" s="1019"/>
      <c r="G5" s="1019"/>
    </row>
    <row r="6" spans="1:9" s="1020" customFormat="1" ht="18" customHeight="1">
      <c r="A6" s="1668" t="s">
        <v>935</v>
      </c>
      <c r="B6" s="1718">
        <f t="shared" si="0"/>
        <v>2399</v>
      </c>
      <c r="C6" s="1721">
        <v>2000</v>
      </c>
      <c r="D6" s="1661">
        <v>4798000</v>
      </c>
      <c r="E6" s="1025"/>
      <c r="F6" s="1019"/>
      <c r="G6" s="1019"/>
    </row>
    <row r="7" spans="1:9" s="1020" customFormat="1" ht="18" customHeight="1">
      <c r="A7" s="1668" t="s">
        <v>435</v>
      </c>
      <c r="B7" s="1718">
        <f t="shared" si="0"/>
        <v>4254</v>
      </c>
      <c r="C7" s="1721">
        <v>2000</v>
      </c>
      <c r="D7" s="1661">
        <v>8508000</v>
      </c>
      <c r="E7" s="1025"/>
      <c r="F7" s="1019"/>
      <c r="G7" s="1019"/>
    </row>
    <row r="8" spans="1:9" s="1020" customFormat="1" ht="18" customHeight="1">
      <c r="A8" s="1668" t="s">
        <v>571</v>
      </c>
      <c r="B8" s="1718">
        <f t="shared" si="0"/>
        <v>4267</v>
      </c>
      <c r="C8" s="1721">
        <v>2000</v>
      </c>
      <c r="D8" s="1661">
        <v>8534000</v>
      </c>
      <c r="E8" s="1025"/>
      <c r="F8" s="1019"/>
      <c r="G8" s="1019"/>
    </row>
    <row r="9" spans="1:9" s="1020" customFormat="1" ht="18" customHeight="1">
      <c r="A9" s="1668" t="s">
        <v>436</v>
      </c>
      <c r="B9" s="1718">
        <f t="shared" si="0"/>
        <v>5208</v>
      </c>
      <c r="C9" s="1721">
        <v>2000</v>
      </c>
      <c r="D9" s="1661">
        <v>10416000</v>
      </c>
      <c r="E9" s="1025"/>
      <c r="F9" s="1019"/>
      <c r="G9" s="1019"/>
    </row>
    <row r="10" spans="1:9" s="1020" customFormat="1" ht="18" customHeight="1">
      <c r="A10" s="1668" t="s">
        <v>470</v>
      </c>
      <c r="B10" s="1718">
        <f t="shared" si="0"/>
        <v>4988</v>
      </c>
      <c r="C10" s="1721">
        <v>2000</v>
      </c>
      <c r="D10" s="1661">
        <v>9976000</v>
      </c>
      <c r="E10" s="1025"/>
      <c r="F10" s="1019"/>
      <c r="G10" s="1019"/>
    </row>
    <row r="11" spans="1:9" s="1020" customFormat="1" ht="18" customHeight="1">
      <c r="A11" s="1668" t="s">
        <v>487</v>
      </c>
      <c r="B11" s="1718">
        <f t="shared" si="0"/>
        <v>5894</v>
      </c>
      <c r="C11" s="1721">
        <v>2000</v>
      </c>
      <c r="D11" s="1661">
        <v>11788000</v>
      </c>
      <c r="E11" s="1025"/>
      <c r="F11" s="1019"/>
      <c r="G11" s="1019"/>
    </row>
    <row r="12" spans="1:9" s="1020" customFormat="1" ht="18" customHeight="1">
      <c r="A12" s="1668" t="s">
        <v>566</v>
      </c>
      <c r="B12" s="1718">
        <f t="shared" si="0"/>
        <v>5527</v>
      </c>
      <c r="C12" s="1721">
        <v>2000</v>
      </c>
      <c r="D12" s="1661">
        <v>11054000</v>
      </c>
      <c r="E12" s="1025"/>
      <c r="F12" s="1019"/>
      <c r="G12" s="1019"/>
    </row>
    <row r="13" spans="1:9" s="1020" customFormat="1" ht="18" customHeight="1">
      <c r="A13" s="1668" t="s">
        <v>546</v>
      </c>
      <c r="B13" s="1718">
        <f t="shared" si="0"/>
        <v>6648</v>
      </c>
      <c r="C13" s="1721">
        <v>2000</v>
      </c>
      <c r="D13" s="1661">
        <v>13296000</v>
      </c>
      <c r="E13" s="1025"/>
      <c r="F13" s="1019"/>
      <c r="G13" s="1019"/>
    </row>
    <row r="14" spans="1:9" s="1020" customFormat="1" ht="18" customHeight="1">
      <c r="A14" s="1668" t="s">
        <v>586</v>
      </c>
      <c r="B14" s="1718">
        <f t="shared" si="0"/>
        <v>7374</v>
      </c>
      <c r="C14" s="1721">
        <v>2000</v>
      </c>
      <c r="D14" s="1661">
        <v>14748000</v>
      </c>
      <c r="E14" s="1025"/>
      <c r="F14" s="1019"/>
      <c r="G14" s="1019"/>
    </row>
    <row r="15" spans="1:9" s="1020" customFormat="1" ht="18" customHeight="1">
      <c r="A15" s="1669" t="s">
        <v>946</v>
      </c>
      <c r="B15" s="1719">
        <f t="shared" si="0"/>
        <v>5590</v>
      </c>
      <c r="C15" s="1722">
        <v>2000</v>
      </c>
      <c r="D15" s="1666">
        <v>11180000</v>
      </c>
      <c r="E15" s="1664"/>
      <c r="F15" s="1019"/>
      <c r="G15" s="1019"/>
    </row>
    <row r="16" spans="1:9" s="1020" customFormat="1" ht="54" customHeight="1">
      <c r="A16" s="1973" t="s">
        <v>944</v>
      </c>
      <c r="B16" s="1974"/>
      <c r="C16" s="1974"/>
      <c r="D16" s="1974"/>
      <c r="E16" s="1660"/>
      <c r="F16" s="1019"/>
      <c r="G16" s="1019"/>
    </row>
    <row r="17" spans="1:7" s="1020" customFormat="1" ht="18.75" customHeight="1">
      <c r="A17" s="1974"/>
      <c r="B17" s="1974"/>
      <c r="C17" s="1974"/>
      <c r="D17" s="1974"/>
      <c r="E17" s="1660"/>
      <c r="F17" s="1019"/>
      <c r="G17" s="1019"/>
    </row>
    <row r="18" spans="1:7" s="1020" customFormat="1" ht="20.25" customHeight="1">
      <c r="B18" s="1023"/>
      <c r="C18" s="1023"/>
      <c r="D18" s="1022"/>
      <c r="E18" s="1023"/>
      <c r="F18" s="1019"/>
      <c r="G18" s="1019"/>
    </row>
    <row r="19" spans="1:7" s="1020" customFormat="1" ht="23.25" customHeight="1">
      <c r="B19" s="1023"/>
      <c r="C19" s="1023"/>
      <c r="D19" s="1022"/>
      <c r="E19" s="1023"/>
      <c r="F19" s="1019"/>
      <c r="G19" s="1019"/>
    </row>
    <row r="20" spans="1:7" s="1020" customFormat="1" ht="23.25" customHeight="1">
      <c r="E20" s="1023"/>
      <c r="F20" s="1019"/>
      <c r="G20" s="1019"/>
    </row>
    <row r="21" spans="1:7" s="1020" customFormat="1" ht="23.25" customHeight="1">
      <c r="E21" s="1023"/>
      <c r="F21" s="1019"/>
      <c r="G21" s="1019"/>
    </row>
    <row r="22" spans="1:7" s="1020" customFormat="1" ht="23.25" customHeight="1">
      <c r="E22" s="1023"/>
      <c r="F22" s="1019"/>
      <c r="G22" s="1019"/>
    </row>
    <row r="23" spans="1:7" s="1020" customFormat="1" ht="23.25" customHeight="1">
      <c r="E23" s="1023"/>
      <c r="F23" s="1019"/>
      <c r="G23" s="1019"/>
    </row>
    <row r="24" spans="1:7" s="1020" customFormat="1" ht="23.25" customHeight="1">
      <c r="E24" s="1023"/>
      <c r="F24" s="1019"/>
      <c r="G24" s="1019"/>
    </row>
    <row r="25" spans="1:7" s="1020" customFormat="1" ht="20.25" customHeight="1">
      <c r="E25" s="1023"/>
      <c r="F25" s="1019"/>
      <c r="G25" s="1019"/>
    </row>
    <row r="26" spans="1:7" s="1020" customFormat="1" ht="23.25" customHeight="1">
      <c r="E26" s="1023"/>
      <c r="F26" s="1019"/>
      <c r="G26" s="1019"/>
    </row>
    <row r="27" spans="1:7" s="1020" customFormat="1" ht="23.25" customHeight="1">
      <c r="E27" s="1023"/>
      <c r="F27" s="1019"/>
      <c r="G27" s="1019"/>
    </row>
    <row r="28" spans="1:7" s="1020" customFormat="1" ht="20.25" customHeight="1">
      <c r="E28" s="1023"/>
      <c r="F28" s="1019"/>
      <c r="G28" s="1019"/>
    </row>
    <row r="29" spans="1:7" s="1020" customFormat="1" ht="21.75" customHeight="1">
      <c r="E29" s="1022"/>
      <c r="F29" s="1019"/>
      <c r="G29" s="1019"/>
    </row>
    <row r="30" spans="1:7" s="1020" customFormat="1" ht="21.75" customHeight="1">
      <c r="E30" s="1022"/>
      <c r="F30" s="1022"/>
      <c r="G30" s="1022"/>
    </row>
    <row r="31" spans="1:7" s="1020" customFormat="1" ht="21.75" customHeight="1">
      <c r="E31" s="1022"/>
      <c r="F31" s="1022"/>
      <c r="G31" s="1022"/>
    </row>
    <row r="32" spans="1:7" s="1020" customFormat="1" ht="21.75" customHeight="1">
      <c r="E32" s="1022"/>
      <c r="F32" s="1022"/>
      <c r="G32" s="1022"/>
    </row>
    <row r="33" spans="1:18" s="1020" customFormat="1" ht="26.25" customHeight="1">
      <c r="E33" s="1022"/>
      <c r="F33" s="1022"/>
      <c r="G33" s="1022"/>
    </row>
    <row r="34" spans="1:18" s="1020" customFormat="1" ht="26.25" customHeight="1">
      <c r="E34" s="1022"/>
    </row>
    <row r="35" spans="1:18" s="1020" customFormat="1" ht="23.25">
      <c r="E35" s="1022"/>
    </row>
    <row r="36" spans="1:18" s="1020" customFormat="1" ht="23.25">
      <c r="E36" s="1022"/>
      <c r="L36" s="1023"/>
      <c r="M36" s="1023"/>
      <c r="N36" s="1023"/>
      <c r="O36" s="1023"/>
      <c r="P36" s="1023"/>
      <c r="Q36" s="1026"/>
      <c r="R36" s="1022"/>
    </row>
    <row r="37" spans="1:18" s="1020" customFormat="1" ht="23.25">
      <c r="E37" s="1022"/>
    </row>
    <row r="38" spans="1:18" s="1020" customFormat="1" ht="23.25">
      <c r="E38" s="1022"/>
    </row>
    <row r="39" spans="1:18" s="1020" customFormat="1" ht="23.25">
      <c r="E39" s="1022"/>
    </row>
    <row r="40" spans="1:18" s="1020" customFormat="1"/>
    <row r="41" spans="1:18" s="1020" customFormat="1"/>
    <row r="42" spans="1:18" s="1020" customFormat="1"/>
    <row r="43" spans="1:18" s="1020" customFormat="1">
      <c r="A43" s="1018"/>
      <c r="B43" s="1018"/>
      <c r="C43" s="1018"/>
      <c r="D43" s="1018"/>
    </row>
    <row r="44" spans="1:18" s="1020" customFormat="1">
      <c r="A44" s="1018"/>
      <c r="B44" s="1018"/>
      <c r="C44" s="1018"/>
      <c r="D44" s="1018"/>
    </row>
    <row r="45" spans="1:18" s="1020" customFormat="1">
      <c r="A45" s="1018"/>
      <c r="B45" s="1018"/>
      <c r="C45" s="1018"/>
      <c r="D45" s="1018"/>
    </row>
    <row r="46" spans="1:18" s="1020" customFormat="1">
      <c r="A46" s="1018"/>
      <c r="B46" s="1018"/>
      <c r="C46" s="1018"/>
      <c r="D46" s="1018"/>
    </row>
    <row r="47" spans="1:18" s="1020" customFormat="1">
      <c r="A47" s="1018"/>
      <c r="B47" s="1018"/>
      <c r="C47" s="1018"/>
      <c r="D47" s="1018"/>
    </row>
    <row r="48" spans="1:18" s="1020" customFormat="1">
      <c r="A48" s="1018"/>
      <c r="B48" s="1018"/>
      <c r="C48" s="1018"/>
      <c r="D48" s="1018"/>
    </row>
    <row r="49" spans="1:4" s="1020" customFormat="1">
      <c r="A49" s="1018"/>
      <c r="B49" s="1018"/>
      <c r="C49" s="1018"/>
      <c r="D49" s="1018"/>
    </row>
    <row r="50" spans="1:4" s="1020" customFormat="1">
      <c r="A50" s="1018"/>
      <c r="B50" s="1018"/>
      <c r="C50" s="1018"/>
      <c r="D50" s="1018"/>
    </row>
    <row r="51" spans="1:4" s="1020" customFormat="1">
      <c r="A51" s="1018"/>
      <c r="B51" s="1018"/>
      <c r="C51" s="1018"/>
      <c r="D51" s="1018"/>
    </row>
    <row r="52" spans="1:4" s="1020" customFormat="1">
      <c r="A52" s="1018"/>
      <c r="B52" s="1018"/>
      <c r="C52" s="1018"/>
      <c r="D52" s="1018"/>
    </row>
    <row r="53" spans="1:4" s="1020" customFormat="1">
      <c r="A53" s="1018"/>
      <c r="B53" s="1018"/>
      <c r="C53" s="1018"/>
      <c r="D53" s="1018"/>
    </row>
    <row r="54" spans="1:4" s="1020" customFormat="1">
      <c r="A54" s="1018"/>
      <c r="B54" s="1018"/>
      <c r="C54" s="1018"/>
      <c r="D54" s="1018"/>
    </row>
  </sheetData>
  <mergeCells count="2">
    <mergeCell ref="A1:I1"/>
    <mergeCell ref="A16:D17"/>
  </mergeCells>
  <printOptions horizontalCentered="1" verticalCentered="1"/>
  <pageMargins left="0.39370078740157483" right="0.39370078740157483" top="0.23622047244094491" bottom="0.23622047244094491" header="0.31496062992125984" footer="0.41"/>
  <pageSetup scale="49" orientation="landscape" r:id="rId1"/>
  <colBreaks count="1" manualBreakCount="1">
    <brk id="3" max="6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4"/>
  <sheetViews>
    <sheetView showGridLines="0" view="pageBreakPreview" zoomScaleNormal="70" zoomScaleSheetLayoutView="100" workbookViewId="0">
      <pane ySplit="1" topLeftCell="A2" activePane="bottomLeft" state="frozen"/>
      <selection pane="bottomLeft" activeCell="D10" sqref="D10"/>
    </sheetView>
  </sheetViews>
  <sheetFormatPr baseColWidth="10" defaultColWidth="11.42578125" defaultRowHeight="15"/>
  <cols>
    <col min="1" max="1" width="12.85546875" style="77" customWidth="1"/>
    <col min="2" max="2" width="16.7109375" style="77" customWidth="1"/>
    <col min="3" max="4" width="18.5703125" style="77" customWidth="1"/>
    <col min="5" max="5" width="16.7109375" style="77" customWidth="1"/>
    <col min="6" max="6" width="16.42578125" style="77" customWidth="1"/>
    <col min="7" max="7" width="24.85546875" style="77" customWidth="1"/>
    <col min="8" max="8" width="29.42578125" style="77" customWidth="1"/>
    <col min="9" max="9" width="28.85546875" style="77" customWidth="1"/>
    <col min="10" max="10" width="7.42578125" style="77" customWidth="1"/>
    <col min="11" max="16384" width="11.42578125" style="77"/>
  </cols>
  <sheetData>
    <row r="1" spans="1:11" ht="65.25" customHeight="1">
      <c r="A1" s="1861"/>
      <c r="B1" s="1861"/>
      <c r="C1" s="1861"/>
      <c r="D1" s="1861"/>
      <c r="E1" s="1861"/>
      <c r="F1" s="1861"/>
      <c r="G1" s="1861"/>
      <c r="H1" s="1861"/>
      <c r="I1" s="1861"/>
      <c r="J1" s="191"/>
    </row>
    <row r="2" spans="1:11" s="39" customFormat="1" ht="6" customHeight="1">
      <c r="A2" s="955"/>
      <c r="B2" s="955"/>
      <c r="C2" s="955"/>
      <c r="D2" s="955"/>
      <c r="E2" s="955"/>
      <c r="F2" s="955"/>
      <c r="G2" s="955"/>
      <c r="H2" s="955"/>
      <c r="I2" s="955"/>
      <c r="J2" s="955"/>
    </row>
    <row r="3" spans="1:11" ht="30">
      <c r="A3" s="1724" t="s">
        <v>47</v>
      </c>
      <c r="B3" s="1725" t="s">
        <v>937</v>
      </c>
      <c r="C3" s="1726" t="s">
        <v>938</v>
      </c>
      <c r="D3" s="1047" t="s">
        <v>936</v>
      </c>
    </row>
    <row r="4" spans="1:11" ht="17.25" customHeight="1">
      <c r="A4" s="1735">
        <v>2009</v>
      </c>
      <c r="B4" s="1727">
        <v>16656000</v>
      </c>
      <c r="C4" s="1728">
        <v>0</v>
      </c>
      <c r="D4" s="1729">
        <f>+C4+B4</f>
        <v>16656000</v>
      </c>
    </row>
    <row r="5" spans="1:11" ht="15.75" customHeight="1">
      <c r="A5" s="1735">
        <v>2010</v>
      </c>
      <c r="B5" s="1727">
        <v>68030000</v>
      </c>
      <c r="C5" s="1728">
        <v>0</v>
      </c>
      <c r="D5" s="1729">
        <f t="shared" ref="D5:D10" si="0">+C5+B5</f>
        <v>68030000</v>
      </c>
    </row>
    <row r="6" spans="1:11" ht="17.25" customHeight="1">
      <c r="A6" s="1735">
        <v>2011</v>
      </c>
      <c r="B6" s="1727">
        <v>168385579.84999999</v>
      </c>
      <c r="C6" s="1728">
        <v>0</v>
      </c>
      <c r="D6" s="1729">
        <f t="shared" si="0"/>
        <v>168385579.84999999</v>
      </c>
    </row>
    <row r="7" spans="1:11" ht="17.25" customHeight="1">
      <c r="A7" s="1735">
        <v>2012</v>
      </c>
      <c r="B7" s="1727">
        <v>182376500</v>
      </c>
      <c r="C7" s="1728">
        <v>0</v>
      </c>
      <c r="D7" s="1729">
        <f t="shared" si="0"/>
        <v>182376500</v>
      </c>
    </row>
    <row r="8" spans="1:11" ht="18.75" customHeight="1">
      <c r="A8" s="1735">
        <v>2013</v>
      </c>
      <c r="B8" s="1727">
        <v>215786255.86000001</v>
      </c>
      <c r="C8" s="1728">
        <v>0</v>
      </c>
      <c r="D8" s="1729">
        <f t="shared" si="0"/>
        <v>215786255.86000001</v>
      </c>
    </row>
    <row r="9" spans="1:11" ht="18" customHeight="1">
      <c r="A9" s="1735">
        <v>2014</v>
      </c>
      <c r="B9" s="1727">
        <v>262429320</v>
      </c>
      <c r="C9" s="1728">
        <v>0</v>
      </c>
      <c r="D9" s="1729">
        <f t="shared" si="0"/>
        <v>262429320</v>
      </c>
    </row>
    <row r="10" spans="1:11">
      <c r="A10" s="1736" t="s">
        <v>968</v>
      </c>
      <c r="B10" s="1727">
        <v>77120000</v>
      </c>
      <c r="C10" s="1730">
        <v>64067420</v>
      </c>
      <c r="D10" s="1729">
        <f t="shared" si="0"/>
        <v>141187420</v>
      </c>
    </row>
    <row r="11" spans="1:11" ht="18.75">
      <c r="A11" s="1731" t="s">
        <v>23</v>
      </c>
      <c r="B11" s="1732">
        <f>SUM(B4:B10)</f>
        <v>990783655.71000004</v>
      </c>
      <c r="C11" s="1733">
        <f t="shared" ref="C11" si="1">SUM(C4:C10)</f>
        <v>64067420</v>
      </c>
      <c r="D11" s="1734">
        <f>SUM(D4:D10)</f>
        <v>1054851075.71</v>
      </c>
      <c r="G11" s="1723"/>
    </row>
    <row r="14" spans="1:11">
      <c r="K14" s="192"/>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71"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D11"/>
  <sheetViews>
    <sheetView showGridLines="0" view="pageBreakPreview" zoomScale="70" zoomScaleNormal="100" zoomScaleSheetLayoutView="70" workbookViewId="0">
      <selection activeCell="M53" sqref="M53"/>
    </sheetView>
  </sheetViews>
  <sheetFormatPr baseColWidth="10" defaultColWidth="11.42578125" defaultRowHeight="15"/>
  <cols>
    <col min="1" max="6" width="11.42578125" style="77"/>
    <col min="7" max="7" width="9.42578125" style="77" customWidth="1"/>
    <col min="8" max="16384" width="11.42578125" style="77"/>
  </cols>
  <sheetData>
    <row r="11" spans="4:4" ht="61.5">
      <c r="D11" s="1084"/>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5" spans="1:15" ht="6.75" customHeight="1">
      <c r="A5" s="1975" t="s">
        <v>732</v>
      </c>
      <c r="B5" s="1975"/>
      <c r="C5" s="1975"/>
      <c r="D5" s="1975"/>
      <c r="E5" s="1975"/>
      <c r="F5" s="1975"/>
      <c r="G5" s="1975"/>
      <c r="H5" s="1975"/>
      <c r="I5" s="1975"/>
      <c r="J5" s="1975"/>
      <c r="K5" s="1975"/>
      <c r="L5" s="1975"/>
      <c r="M5" s="1975"/>
      <c r="N5" s="1975"/>
      <c r="O5" s="1975"/>
    </row>
    <row r="6" spans="1:15" ht="17.25" customHeight="1">
      <c r="A6" s="1975"/>
      <c r="B6" s="1975"/>
      <c r="C6" s="1975"/>
      <c r="D6" s="1975"/>
      <c r="E6" s="1975"/>
      <c r="F6" s="1975"/>
      <c r="G6" s="1975"/>
      <c r="H6" s="1975"/>
      <c r="I6" s="1975"/>
      <c r="J6" s="1975"/>
      <c r="K6" s="1975"/>
      <c r="L6" s="1975"/>
      <c r="M6" s="1975"/>
      <c r="N6" s="1975"/>
      <c r="O6" s="1975"/>
    </row>
    <row r="7" spans="1:15">
      <c r="A7" s="1975"/>
      <c r="B7" s="1975"/>
      <c r="C7" s="1975"/>
      <c r="D7" s="1975"/>
      <c r="E7" s="1975"/>
      <c r="F7" s="1975"/>
      <c r="G7" s="1975"/>
      <c r="H7" s="1975"/>
      <c r="I7" s="1975"/>
      <c r="J7" s="1975"/>
      <c r="K7" s="1975"/>
      <c r="L7" s="1975"/>
      <c r="M7" s="1975"/>
      <c r="N7" s="1975"/>
      <c r="O7" s="1975"/>
    </row>
    <row r="8" spans="1:15">
      <c r="A8" s="1975"/>
      <c r="B8" s="1975"/>
      <c r="C8" s="1975"/>
      <c r="D8" s="1975"/>
      <c r="E8" s="1975"/>
      <c r="F8" s="1975"/>
      <c r="G8" s="1975"/>
      <c r="H8" s="1975"/>
      <c r="I8" s="1975"/>
      <c r="J8" s="1975"/>
      <c r="K8" s="1975"/>
      <c r="L8" s="1975"/>
      <c r="M8" s="1975"/>
      <c r="N8" s="1975"/>
      <c r="O8" s="1975"/>
    </row>
    <row r="9" spans="1:15">
      <c r="A9" s="1975"/>
      <c r="B9" s="1975"/>
      <c r="C9" s="1975"/>
      <c r="D9" s="1975"/>
      <c r="E9" s="1975"/>
      <c r="F9" s="1975"/>
      <c r="G9" s="1975"/>
      <c r="H9" s="1975"/>
      <c r="I9" s="1975"/>
      <c r="J9" s="1975"/>
      <c r="K9" s="1975"/>
      <c r="L9" s="1975"/>
      <c r="M9" s="1975"/>
      <c r="N9" s="1975"/>
      <c r="O9" s="1975"/>
    </row>
    <row r="10" spans="1:15">
      <c r="A10" s="1975"/>
      <c r="B10" s="1975"/>
      <c r="C10" s="1975"/>
      <c r="D10" s="1975"/>
      <c r="E10" s="1975"/>
      <c r="F10" s="1975"/>
      <c r="G10" s="1975"/>
      <c r="H10" s="1975"/>
      <c r="I10" s="1975"/>
      <c r="J10" s="1975"/>
      <c r="K10" s="1975"/>
      <c r="L10" s="1975"/>
      <c r="M10" s="1975"/>
      <c r="N10" s="1975"/>
      <c r="O10" s="1975"/>
    </row>
    <row r="11" spans="1:15">
      <c r="A11" s="1975"/>
      <c r="B11" s="1975"/>
      <c r="C11" s="1975"/>
      <c r="D11" s="1975"/>
      <c r="E11" s="1975"/>
      <c r="F11" s="1975"/>
      <c r="G11" s="1975"/>
      <c r="H11" s="1975"/>
      <c r="I11" s="1975"/>
      <c r="J11" s="1975"/>
      <c r="K11" s="1975"/>
      <c r="L11" s="1975"/>
      <c r="M11" s="1975"/>
      <c r="N11" s="1975"/>
      <c r="O11" s="1975"/>
    </row>
    <row r="12" spans="1:15">
      <c r="A12" s="1975"/>
      <c r="B12" s="1975"/>
      <c r="C12" s="1975"/>
      <c r="D12" s="1975"/>
      <c r="E12" s="1975"/>
      <c r="F12" s="1975"/>
      <c r="G12" s="1975"/>
      <c r="H12" s="1975"/>
      <c r="I12" s="1975"/>
      <c r="J12" s="1975"/>
      <c r="K12" s="1975"/>
      <c r="L12" s="1975"/>
      <c r="M12" s="1975"/>
      <c r="N12" s="1975"/>
      <c r="O12" s="1975"/>
    </row>
    <row r="13" spans="1:15">
      <c r="A13" s="1975"/>
      <c r="B13" s="1975"/>
      <c r="C13" s="1975"/>
      <c r="D13" s="1975"/>
      <c r="E13" s="1975"/>
      <c r="F13" s="1975"/>
      <c r="G13" s="1975"/>
      <c r="H13" s="1975"/>
      <c r="I13" s="1975"/>
      <c r="J13" s="1975"/>
      <c r="K13" s="1975"/>
      <c r="L13" s="1975"/>
      <c r="M13" s="1975"/>
      <c r="N13" s="1975"/>
      <c r="O13" s="1975"/>
    </row>
    <row r="14" spans="1:15">
      <c r="A14" s="1975"/>
      <c r="B14" s="1975"/>
      <c r="C14" s="1975"/>
      <c r="D14" s="1975"/>
      <c r="E14" s="1975"/>
      <c r="F14" s="1975"/>
      <c r="G14" s="1975"/>
      <c r="H14" s="1975"/>
      <c r="I14" s="1975"/>
      <c r="J14" s="1975"/>
      <c r="K14" s="1975"/>
      <c r="L14" s="1975"/>
      <c r="M14" s="1975"/>
      <c r="N14" s="1975"/>
      <c r="O14" s="1975"/>
    </row>
    <row r="15" spans="1:15">
      <c r="A15" s="1975"/>
      <c r="B15" s="1975"/>
      <c r="C15" s="1975"/>
      <c r="D15" s="1975"/>
      <c r="E15" s="1975"/>
      <c r="F15" s="1975"/>
      <c r="G15" s="1975"/>
      <c r="H15" s="1975"/>
      <c r="I15" s="1975"/>
      <c r="J15" s="1975"/>
      <c r="K15" s="1975"/>
      <c r="L15" s="1975"/>
      <c r="M15" s="1975"/>
      <c r="N15" s="1975"/>
      <c r="O15" s="1975"/>
    </row>
    <row r="16" spans="1:15">
      <c r="A16" s="1975"/>
      <c r="B16" s="1975"/>
      <c r="C16" s="1975"/>
      <c r="D16" s="1975"/>
      <c r="E16" s="1975"/>
      <c r="F16" s="1975"/>
      <c r="G16" s="1975"/>
      <c r="H16" s="1975"/>
      <c r="I16" s="1975"/>
      <c r="J16" s="1975"/>
      <c r="K16" s="1975"/>
      <c r="L16" s="1975"/>
      <c r="M16" s="1975"/>
      <c r="N16" s="1975"/>
      <c r="O16" s="1975"/>
    </row>
    <row r="17" spans="1:18">
      <c r="A17" s="1975"/>
      <c r="B17" s="1975"/>
      <c r="C17" s="1975"/>
      <c r="D17" s="1975"/>
      <c r="E17" s="1975"/>
      <c r="F17" s="1975"/>
      <c r="G17" s="1975"/>
      <c r="H17" s="1975"/>
      <c r="I17" s="1975"/>
      <c r="J17" s="1975"/>
      <c r="K17" s="1975"/>
      <c r="L17" s="1975"/>
      <c r="M17" s="1975"/>
      <c r="N17" s="1975"/>
      <c r="O17" s="1975"/>
    </row>
    <row r="18" spans="1:18">
      <c r="A18" s="1975"/>
      <c r="B18" s="1975"/>
      <c r="C18" s="1975"/>
      <c r="D18" s="1975"/>
      <c r="E18" s="1975"/>
      <c r="F18" s="1975"/>
      <c r="G18" s="1975"/>
      <c r="H18" s="1975"/>
      <c r="I18" s="1975"/>
      <c r="J18" s="1975"/>
      <c r="K18" s="1975"/>
      <c r="L18" s="1975"/>
      <c r="M18" s="1975"/>
      <c r="N18" s="1975"/>
      <c r="O18" s="1975"/>
    </row>
    <row r="19" spans="1:18">
      <c r="A19" s="1975"/>
      <c r="B19" s="1975"/>
      <c r="C19" s="1975"/>
      <c r="D19" s="1975"/>
      <c r="E19" s="1975"/>
      <c r="F19" s="1975"/>
      <c r="G19" s="1975"/>
      <c r="H19" s="1975"/>
      <c r="I19" s="1975"/>
      <c r="J19" s="1975"/>
      <c r="K19" s="1975"/>
      <c r="L19" s="1975"/>
      <c r="M19" s="1975"/>
      <c r="N19" s="1975"/>
      <c r="O19" s="1975"/>
    </row>
    <row r="20" spans="1:18">
      <c r="A20" s="1975"/>
      <c r="B20" s="1975"/>
      <c r="C20" s="1975"/>
      <c r="D20" s="1975"/>
      <c r="E20" s="1975"/>
      <c r="F20" s="1975"/>
      <c r="G20" s="1975"/>
      <c r="H20" s="1975"/>
      <c r="I20" s="1975"/>
      <c r="J20" s="1975"/>
      <c r="K20" s="1975"/>
      <c r="L20" s="1975"/>
      <c r="M20" s="1975"/>
      <c r="N20" s="1975"/>
      <c r="O20" s="1975"/>
      <c r="R20" s="18"/>
    </row>
    <row r="21" spans="1:18">
      <c r="A21" s="1975"/>
      <c r="B21" s="1975"/>
      <c r="C21" s="1975"/>
      <c r="D21" s="1975"/>
      <c r="E21" s="1975"/>
      <c r="F21" s="1975"/>
      <c r="G21" s="1975"/>
      <c r="H21" s="1975"/>
      <c r="I21" s="1975"/>
      <c r="J21" s="1975"/>
      <c r="K21" s="1975"/>
      <c r="L21" s="1975"/>
      <c r="M21" s="1975"/>
      <c r="N21" s="1975"/>
      <c r="O21" s="1975"/>
    </row>
    <row r="22" spans="1:18">
      <c r="A22" s="1975"/>
      <c r="B22" s="1975"/>
      <c r="C22" s="1975"/>
      <c r="D22" s="1975"/>
      <c r="E22" s="1975"/>
      <c r="F22" s="1975"/>
      <c r="G22" s="1975"/>
      <c r="H22" s="1975"/>
      <c r="I22" s="1975"/>
      <c r="J22" s="1975"/>
      <c r="K22" s="1975"/>
      <c r="L22" s="1975"/>
      <c r="M22" s="1975"/>
      <c r="N22" s="1975"/>
      <c r="O22" s="1975"/>
    </row>
    <row r="23" spans="1:18">
      <c r="A23" s="1975"/>
      <c r="B23" s="1975"/>
      <c r="C23" s="1975"/>
      <c r="D23" s="1975"/>
      <c r="E23" s="1975"/>
      <c r="F23" s="1975"/>
      <c r="G23" s="1975"/>
      <c r="H23" s="1975"/>
      <c r="I23" s="1975"/>
      <c r="J23" s="1975"/>
      <c r="K23" s="1975"/>
      <c r="L23" s="1975"/>
      <c r="M23" s="1975"/>
      <c r="N23" s="1975"/>
      <c r="O23" s="1975"/>
    </row>
    <row r="24" spans="1:18">
      <c r="A24" s="1975"/>
      <c r="B24" s="1975"/>
      <c r="C24" s="1975"/>
      <c r="D24" s="1975"/>
      <c r="E24" s="1975"/>
      <c r="F24" s="1975"/>
      <c r="G24" s="1975"/>
      <c r="H24" s="1975"/>
      <c r="I24" s="1975"/>
      <c r="J24" s="1975"/>
      <c r="K24" s="1975"/>
      <c r="L24" s="1975"/>
      <c r="M24" s="1975"/>
      <c r="N24" s="1975"/>
      <c r="O24" s="1975"/>
    </row>
    <row r="25" spans="1:18">
      <c r="A25" s="1975"/>
      <c r="B25" s="1975"/>
      <c r="C25" s="1975"/>
      <c r="D25" s="1975"/>
      <c r="E25" s="1975"/>
      <c r="F25" s="1975"/>
      <c r="G25" s="1975"/>
      <c r="H25" s="1975"/>
      <c r="I25" s="1975"/>
      <c r="J25" s="1975"/>
      <c r="K25" s="1975"/>
      <c r="L25" s="1975"/>
      <c r="M25" s="1975"/>
      <c r="N25" s="1975"/>
      <c r="O25" s="1975"/>
    </row>
    <row r="26" spans="1:18">
      <c r="A26" s="1975"/>
      <c r="B26" s="1975"/>
      <c r="C26" s="1975"/>
      <c r="D26" s="1975"/>
      <c r="E26" s="1975"/>
      <c r="F26" s="1975"/>
      <c r="G26" s="1975"/>
      <c r="H26" s="1975"/>
      <c r="I26" s="1975"/>
      <c r="J26" s="1975"/>
      <c r="K26" s="1975"/>
      <c r="L26" s="1975"/>
      <c r="M26" s="1975"/>
      <c r="N26" s="1975"/>
      <c r="O26" s="1975"/>
    </row>
    <row r="27" spans="1:18">
      <c r="A27" s="1975"/>
      <c r="B27" s="1975"/>
      <c r="C27" s="1975"/>
      <c r="D27" s="1975"/>
      <c r="E27" s="1975"/>
      <c r="F27" s="1975"/>
      <c r="G27" s="1975"/>
      <c r="H27" s="1975"/>
      <c r="I27" s="1975"/>
      <c r="J27" s="1975"/>
      <c r="K27" s="1975"/>
      <c r="L27" s="1975"/>
      <c r="M27" s="1975"/>
      <c r="N27" s="1975"/>
      <c r="O27" s="1975"/>
    </row>
    <row r="28" spans="1:18">
      <c r="A28" s="1975"/>
      <c r="B28" s="1975"/>
      <c r="C28" s="1975"/>
      <c r="D28" s="1975"/>
      <c r="E28" s="1975"/>
      <c r="F28" s="1975"/>
      <c r="G28" s="1975"/>
      <c r="H28" s="1975"/>
      <c r="I28" s="1975"/>
      <c r="J28" s="1975"/>
      <c r="K28" s="1975"/>
      <c r="L28" s="1975"/>
      <c r="M28" s="1975"/>
      <c r="N28" s="1975"/>
      <c r="O28" s="1975"/>
    </row>
    <row r="29" spans="1:18">
      <c r="A29" s="1975"/>
      <c r="B29" s="1975"/>
      <c r="C29" s="1975"/>
      <c r="D29" s="1975"/>
      <c r="E29" s="1975"/>
      <c r="F29" s="1975"/>
      <c r="G29" s="1975"/>
      <c r="H29" s="1975"/>
      <c r="I29" s="1975"/>
      <c r="J29" s="1975"/>
      <c r="K29" s="1975"/>
      <c r="L29" s="1975"/>
      <c r="M29" s="1975"/>
      <c r="N29" s="1975"/>
      <c r="O29" s="1975"/>
    </row>
    <row r="30" spans="1:18">
      <c r="A30" s="1975"/>
      <c r="B30" s="1975"/>
      <c r="C30" s="1975"/>
      <c r="D30" s="1975"/>
      <c r="E30" s="1975"/>
      <c r="F30" s="1975"/>
      <c r="G30" s="1975"/>
      <c r="H30" s="1975"/>
      <c r="I30" s="1975"/>
      <c r="J30" s="1975"/>
      <c r="K30" s="1975"/>
      <c r="L30" s="1975"/>
      <c r="M30" s="1975"/>
      <c r="N30" s="1975"/>
      <c r="O30" s="1975"/>
    </row>
    <row r="31" spans="1:18">
      <c r="A31" s="1975"/>
      <c r="B31" s="1975"/>
      <c r="C31" s="1975"/>
      <c r="D31" s="1975"/>
      <c r="E31" s="1975"/>
      <c r="F31" s="1975"/>
      <c r="G31" s="1975"/>
      <c r="H31" s="1975"/>
      <c r="I31" s="1975"/>
      <c r="J31" s="1975"/>
      <c r="K31" s="1975"/>
      <c r="L31" s="1975"/>
      <c r="M31" s="1975"/>
      <c r="N31" s="1975"/>
      <c r="O31" s="1975"/>
    </row>
    <row r="32" spans="1:18">
      <c r="A32" s="1975"/>
      <c r="B32" s="1975"/>
      <c r="C32" s="1975"/>
      <c r="D32" s="1975"/>
      <c r="E32" s="1975"/>
      <c r="F32" s="1975"/>
      <c r="G32" s="1975"/>
      <c r="H32" s="1975"/>
      <c r="I32" s="1975"/>
      <c r="J32" s="1975"/>
      <c r="K32" s="1975"/>
      <c r="L32" s="1975"/>
      <c r="M32" s="1975"/>
      <c r="N32" s="1975"/>
      <c r="O32" s="1975"/>
    </row>
    <row r="33" spans="1:15">
      <c r="A33" s="1975"/>
      <c r="B33" s="1975"/>
      <c r="C33" s="1975"/>
      <c r="D33" s="1975"/>
      <c r="E33" s="1975"/>
      <c r="F33" s="1975"/>
      <c r="G33" s="1975"/>
      <c r="H33" s="1975"/>
      <c r="I33" s="1975"/>
      <c r="J33" s="1975"/>
      <c r="K33" s="1975"/>
      <c r="L33" s="1975"/>
      <c r="M33" s="1975"/>
      <c r="N33" s="1975"/>
      <c r="O33" s="1975"/>
    </row>
    <row r="34" spans="1:15">
      <c r="A34" s="1975"/>
      <c r="B34" s="1975"/>
      <c r="C34" s="1975"/>
      <c r="D34" s="1975"/>
      <c r="E34" s="1975"/>
      <c r="F34" s="1975"/>
      <c r="G34" s="1975"/>
      <c r="H34" s="1975"/>
      <c r="I34" s="1975"/>
      <c r="J34" s="1975"/>
      <c r="K34" s="1975"/>
      <c r="L34" s="1975"/>
      <c r="M34" s="1975"/>
      <c r="N34" s="1975"/>
      <c r="O34" s="1975"/>
    </row>
    <row r="35" spans="1:15">
      <c r="A35" s="1975"/>
      <c r="B35" s="1975"/>
      <c r="C35" s="1975"/>
      <c r="D35" s="1975"/>
      <c r="E35" s="1975"/>
      <c r="F35" s="1975"/>
      <c r="G35" s="1975"/>
      <c r="H35" s="1975"/>
      <c r="I35" s="1975"/>
      <c r="J35" s="1975"/>
      <c r="K35" s="1975"/>
      <c r="L35" s="1975"/>
      <c r="M35" s="1975"/>
      <c r="N35" s="1975"/>
      <c r="O35" s="1975"/>
    </row>
    <row r="36" spans="1:15">
      <c r="A36" s="1975"/>
      <c r="B36" s="1975"/>
      <c r="C36" s="1975"/>
      <c r="D36" s="1975"/>
      <c r="E36" s="1975"/>
      <c r="F36" s="1975"/>
      <c r="G36" s="1975"/>
      <c r="H36" s="1975"/>
      <c r="I36" s="1975"/>
      <c r="J36" s="1975"/>
      <c r="K36" s="1975"/>
      <c r="L36" s="1975"/>
      <c r="M36" s="1975"/>
      <c r="N36" s="1975"/>
      <c r="O36" s="1975"/>
    </row>
    <row r="37" spans="1:15">
      <c r="A37" s="1975"/>
      <c r="B37" s="1975"/>
      <c r="C37" s="1975"/>
      <c r="D37" s="1975"/>
      <c r="E37" s="1975"/>
      <c r="F37" s="1975"/>
      <c r="G37" s="1975"/>
      <c r="H37" s="1975"/>
      <c r="I37" s="1975"/>
      <c r="J37" s="1975"/>
      <c r="K37" s="1975"/>
      <c r="L37" s="1975"/>
      <c r="M37" s="1975"/>
      <c r="N37" s="1975"/>
      <c r="O37" s="1975"/>
    </row>
    <row r="38" spans="1:15">
      <c r="A38" s="1975"/>
      <c r="B38" s="1975"/>
      <c r="C38" s="1975"/>
      <c r="D38" s="1975"/>
      <c r="E38" s="1975"/>
      <c r="F38" s="1975"/>
      <c r="G38" s="1975"/>
      <c r="H38" s="1975"/>
      <c r="I38" s="1975"/>
      <c r="J38" s="1975"/>
      <c r="K38" s="1975"/>
      <c r="L38" s="1975"/>
      <c r="M38" s="1975"/>
      <c r="N38" s="1975"/>
      <c r="O38" s="1975"/>
    </row>
    <row r="39" spans="1:15">
      <c r="A39" s="1975"/>
      <c r="B39" s="1975"/>
      <c r="C39" s="1975"/>
      <c r="D39" s="1975"/>
      <c r="E39" s="1975"/>
      <c r="F39" s="1975"/>
      <c r="G39" s="1975"/>
      <c r="H39" s="1975"/>
      <c r="I39" s="1975"/>
      <c r="J39" s="1975"/>
      <c r="K39" s="1975"/>
      <c r="L39" s="1975"/>
      <c r="M39" s="1975"/>
      <c r="N39" s="1975"/>
      <c r="O39" s="1975"/>
    </row>
    <row r="40" spans="1:15">
      <c r="A40" s="1975"/>
      <c r="B40" s="1975"/>
      <c r="C40" s="1975"/>
      <c r="D40" s="1975"/>
      <c r="E40" s="1975"/>
      <c r="F40" s="1975"/>
      <c r="G40" s="1975"/>
      <c r="H40" s="1975"/>
      <c r="I40" s="1975"/>
      <c r="J40" s="1975"/>
      <c r="K40" s="1975"/>
      <c r="L40" s="1975"/>
      <c r="M40" s="1975"/>
      <c r="N40" s="1975"/>
      <c r="O40" s="1975"/>
    </row>
    <row r="41" spans="1:15">
      <c r="A41" s="1975"/>
      <c r="B41" s="1975"/>
      <c r="C41" s="1975"/>
      <c r="D41" s="1975"/>
      <c r="E41" s="1975"/>
      <c r="F41" s="1975"/>
      <c r="G41" s="1975"/>
      <c r="H41" s="1975"/>
      <c r="I41" s="1975"/>
      <c r="J41" s="1975"/>
      <c r="K41" s="1975"/>
      <c r="L41" s="1975"/>
      <c r="M41" s="1975"/>
      <c r="N41" s="1975"/>
      <c r="O41" s="1975"/>
    </row>
    <row r="42" spans="1:15">
      <c r="A42" s="1975"/>
      <c r="B42" s="1975"/>
      <c r="C42" s="1975"/>
      <c r="D42" s="1975"/>
      <c r="E42" s="1975"/>
      <c r="F42" s="1975"/>
      <c r="G42" s="1975"/>
      <c r="H42" s="1975"/>
      <c r="I42" s="1975"/>
      <c r="J42" s="1975"/>
      <c r="K42" s="1975"/>
      <c r="L42" s="1975"/>
      <c r="M42" s="1975"/>
      <c r="N42" s="1975"/>
      <c r="O42" s="1975"/>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6:N34"/>
  <sheetViews>
    <sheetView showGridLines="0" view="pageBreakPreview" zoomScale="85" zoomScaleNormal="100" zoomScaleSheetLayoutView="85" workbookViewId="0">
      <selection activeCell="O36" sqref="O36"/>
    </sheetView>
  </sheetViews>
  <sheetFormatPr baseColWidth="10" defaultColWidth="11.42578125" defaultRowHeight="15"/>
  <cols>
    <col min="1" max="6" width="11.42578125" style="77"/>
    <col min="7" max="7" width="8.85546875" style="77" customWidth="1"/>
    <col min="8" max="16384" width="11.42578125" style="77"/>
  </cols>
  <sheetData>
    <row r="6" spans="1:14" ht="2.25" customHeight="1"/>
    <row r="7" spans="1:14">
      <c r="A7" s="1976" t="s">
        <v>790</v>
      </c>
      <c r="B7" s="1976"/>
      <c r="C7" s="1976"/>
      <c r="D7" s="1976"/>
      <c r="E7" s="1976"/>
      <c r="F7" s="1976"/>
      <c r="G7" s="1976"/>
      <c r="H7" s="1976"/>
      <c r="I7" s="1976"/>
      <c r="J7" s="1976"/>
      <c r="K7" s="1976"/>
      <c r="L7" s="1976"/>
      <c r="M7" s="1976"/>
      <c r="N7" s="1976"/>
    </row>
    <row r="8" spans="1:14">
      <c r="A8" s="1976"/>
      <c r="B8" s="1976"/>
      <c r="C8" s="1976"/>
      <c r="D8" s="1976"/>
      <c r="E8" s="1976"/>
      <c r="F8" s="1976"/>
      <c r="G8" s="1976"/>
      <c r="H8" s="1976"/>
      <c r="I8" s="1976"/>
      <c r="J8" s="1976"/>
      <c r="K8" s="1976"/>
      <c r="L8" s="1976"/>
      <c r="M8" s="1976"/>
      <c r="N8" s="1976"/>
    </row>
    <row r="9" spans="1:14">
      <c r="A9" s="1976"/>
      <c r="B9" s="1976"/>
      <c r="C9" s="1976"/>
      <c r="D9" s="1976"/>
      <c r="E9" s="1976"/>
      <c r="F9" s="1976"/>
      <c r="G9" s="1976"/>
      <c r="H9" s="1976"/>
      <c r="I9" s="1976"/>
      <c r="J9" s="1976"/>
      <c r="K9" s="1976"/>
      <c r="L9" s="1976"/>
      <c r="M9" s="1976"/>
      <c r="N9" s="1976"/>
    </row>
    <row r="10" spans="1:14">
      <c r="A10" s="1976"/>
      <c r="B10" s="1976"/>
      <c r="C10" s="1976"/>
      <c r="D10" s="1976"/>
      <c r="E10" s="1976"/>
      <c r="F10" s="1976"/>
      <c r="G10" s="1976"/>
      <c r="H10" s="1976"/>
      <c r="I10" s="1976"/>
      <c r="J10" s="1976"/>
      <c r="K10" s="1976"/>
      <c r="L10" s="1976"/>
      <c r="M10" s="1976"/>
      <c r="N10" s="1976"/>
    </row>
    <row r="11" spans="1:14">
      <c r="A11" s="1976"/>
      <c r="B11" s="1976"/>
      <c r="C11" s="1976"/>
      <c r="D11" s="1976"/>
      <c r="E11" s="1976"/>
      <c r="F11" s="1976"/>
      <c r="G11" s="1976"/>
      <c r="H11" s="1976"/>
      <c r="I11" s="1976"/>
      <c r="J11" s="1976"/>
      <c r="K11" s="1976"/>
      <c r="L11" s="1976"/>
      <c r="M11" s="1976"/>
      <c r="N11" s="1976"/>
    </row>
    <row r="12" spans="1:14">
      <c r="A12" s="1976"/>
      <c r="B12" s="1976"/>
      <c r="C12" s="1976"/>
      <c r="D12" s="1976"/>
      <c r="E12" s="1976"/>
      <c r="F12" s="1976"/>
      <c r="G12" s="1976"/>
      <c r="H12" s="1976"/>
      <c r="I12" s="1976"/>
      <c r="J12" s="1976"/>
      <c r="K12" s="1976"/>
      <c r="L12" s="1976"/>
      <c r="M12" s="1976"/>
      <c r="N12" s="1976"/>
    </row>
    <row r="13" spans="1:14">
      <c r="A13" s="1976"/>
      <c r="B13" s="1976"/>
      <c r="C13" s="1976"/>
      <c r="D13" s="1976"/>
      <c r="E13" s="1976"/>
      <c r="F13" s="1976"/>
      <c r="G13" s="1976"/>
      <c r="H13" s="1976"/>
      <c r="I13" s="1976"/>
      <c r="J13" s="1976"/>
      <c r="K13" s="1976"/>
      <c r="L13" s="1976"/>
      <c r="M13" s="1976"/>
      <c r="N13" s="1976"/>
    </row>
    <row r="14" spans="1:14">
      <c r="A14" s="1976"/>
      <c r="B14" s="1976"/>
      <c r="C14" s="1976"/>
      <c r="D14" s="1976"/>
      <c r="E14" s="1976"/>
      <c r="F14" s="1976"/>
      <c r="G14" s="1976"/>
      <c r="H14" s="1976"/>
      <c r="I14" s="1976"/>
      <c r="J14" s="1976"/>
      <c r="K14" s="1976"/>
      <c r="L14" s="1976"/>
      <c r="M14" s="1976"/>
      <c r="N14" s="1976"/>
    </row>
    <row r="15" spans="1:14">
      <c r="A15" s="1976"/>
      <c r="B15" s="1976"/>
      <c r="C15" s="1976"/>
      <c r="D15" s="1976"/>
      <c r="E15" s="1976"/>
      <c r="F15" s="1976"/>
      <c r="G15" s="1976"/>
      <c r="H15" s="1976"/>
      <c r="I15" s="1976"/>
      <c r="J15" s="1976"/>
      <c r="K15" s="1976"/>
      <c r="L15" s="1976"/>
      <c r="M15" s="1976"/>
      <c r="N15" s="1976"/>
    </row>
    <row r="16" spans="1:14">
      <c r="A16" s="1976"/>
      <c r="B16" s="1976"/>
      <c r="C16" s="1976"/>
      <c r="D16" s="1976"/>
      <c r="E16" s="1976"/>
      <c r="F16" s="1976"/>
      <c r="G16" s="1976"/>
      <c r="H16" s="1976"/>
      <c r="I16" s="1976"/>
      <c r="J16" s="1976"/>
      <c r="K16" s="1976"/>
      <c r="L16" s="1976"/>
      <c r="M16" s="1976"/>
      <c r="N16" s="1976"/>
    </row>
    <row r="17" spans="1:14">
      <c r="A17" s="1976"/>
      <c r="B17" s="1976"/>
      <c r="C17" s="1976"/>
      <c r="D17" s="1976"/>
      <c r="E17" s="1976"/>
      <c r="F17" s="1976"/>
      <c r="G17" s="1976"/>
      <c r="H17" s="1976"/>
      <c r="I17" s="1976"/>
      <c r="J17" s="1976"/>
      <c r="K17" s="1976"/>
      <c r="L17" s="1976"/>
      <c r="M17" s="1976"/>
      <c r="N17" s="1976"/>
    </row>
    <row r="18" spans="1:14">
      <c r="A18" s="1976"/>
      <c r="B18" s="1976"/>
      <c r="C18" s="1976"/>
      <c r="D18" s="1976"/>
      <c r="E18" s="1976"/>
      <c r="F18" s="1976"/>
      <c r="G18" s="1976"/>
      <c r="H18" s="1976"/>
      <c r="I18" s="1976"/>
      <c r="J18" s="1976"/>
      <c r="K18" s="1976"/>
      <c r="L18" s="1976"/>
      <c r="M18" s="1976"/>
      <c r="N18" s="1976"/>
    </row>
    <row r="19" spans="1:14">
      <c r="A19" s="1976"/>
      <c r="B19" s="1976"/>
      <c r="C19" s="1976"/>
      <c r="D19" s="1976"/>
      <c r="E19" s="1976"/>
      <c r="F19" s="1976"/>
      <c r="G19" s="1976"/>
      <c r="H19" s="1976"/>
      <c r="I19" s="1976"/>
      <c r="J19" s="1976"/>
      <c r="K19" s="1976"/>
      <c r="L19" s="1976"/>
      <c r="M19" s="1976"/>
      <c r="N19" s="1976"/>
    </row>
    <row r="20" spans="1:14">
      <c r="A20" s="1976"/>
      <c r="B20" s="1976"/>
      <c r="C20" s="1976"/>
      <c r="D20" s="1976"/>
      <c r="E20" s="1976"/>
      <c r="F20" s="1976"/>
      <c r="G20" s="1976"/>
      <c r="H20" s="1976"/>
      <c r="I20" s="1976"/>
      <c r="J20" s="1976"/>
      <c r="K20" s="1976"/>
      <c r="L20" s="1976"/>
      <c r="M20" s="1976"/>
      <c r="N20" s="1976"/>
    </row>
    <row r="21" spans="1:14">
      <c r="A21" s="1976"/>
      <c r="B21" s="1976"/>
      <c r="C21" s="1976"/>
      <c r="D21" s="1976"/>
      <c r="E21" s="1976"/>
      <c r="F21" s="1976"/>
      <c r="G21" s="1976"/>
      <c r="H21" s="1976"/>
      <c r="I21" s="1976"/>
      <c r="J21" s="1976"/>
      <c r="K21" s="1976"/>
      <c r="L21" s="1976"/>
      <c r="M21" s="1976"/>
      <c r="N21" s="1976"/>
    </row>
    <row r="22" spans="1:14">
      <c r="A22" s="1976"/>
      <c r="B22" s="1976"/>
      <c r="C22" s="1976"/>
      <c r="D22" s="1976"/>
      <c r="E22" s="1976"/>
      <c r="F22" s="1976"/>
      <c r="G22" s="1976"/>
      <c r="H22" s="1976"/>
      <c r="I22" s="1976"/>
      <c r="J22" s="1976"/>
      <c r="K22" s="1976"/>
      <c r="L22" s="1976"/>
      <c r="M22" s="1976"/>
      <c r="N22" s="1976"/>
    </row>
    <row r="23" spans="1:14">
      <c r="A23" s="1976"/>
      <c r="B23" s="1976"/>
      <c r="C23" s="1976"/>
      <c r="D23" s="1976"/>
      <c r="E23" s="1976"/>
      <c r="F23" s="1976"/>
      <c r="G23" s="1976"/>
      <c r="H23" s="1976"/>
      <c r="I23" s="1976"/>
      <c r="J23" s="1976"/>
      <c r="K23" s="1976"/>
      <c r="L23" s="1976"/>
      <c r="M23" s="1976"/>
      <c r="N23" s="1976"/>
    </row>
    <row r="24" spans="1:14">
      <c r="A24" s="1976"/>
      <c r="B24" s="1976"/>
      <c r="C24" s="1976"/>
      <c r="D24" s="1976"/>
      <c r="E24" s="1976"/>
      <c r="F24" s="1976"/>
      <c r="G24" s="1976"/>
      <c r="H24" s="1976"/>
      <c r="I24" s="1976"/>
      <c r="J24" s="1976"/>
      <c r="K24" s="1976"/>
      <c r="L24" s="1976"/>
      <c r="M24" s="1976"/>
      <c r="N24" s="1976"/>
    </row>
    <row r="25" spans="1:14">
      <c r="A25" s="1976"/>
      <c r="B25" s="1976"/>
      <c r="C25" s="1976"/>
      <c r="D25" s="1976"/>
      <c r="E25" s="1976"/>
      <c r="F25" s="1976"/>
      <c r="G25" s="1976"/>
      <c r="H25" s="1976"/>
      <c r="I25" s="1976"/>
      <c r="J25" s="1976"/>
      <c r="K25" s="1976"/>
      <c r="L25" s="1976"/>
      <c r="M25" s="1976"/>
      <c r="N25" s="1976"/>
    </row>
    <row r="26" spans="1:14">
      <c r="A26" s="1976"/>
      <c r="B26" s="1976"/>
      <c r="C26" s="1976"/>
      <c r="D26" s="1976"/>
      <c r="E26" s="1976"/>
      <c r="F26" s="1976"/>
      <c r="G26" s="1976"/>
      <c r="H26" s="1976"/>
      <c r="I26" s="1976"/>
      <c r="J26" s="1976"/>
      <c r="K26" s="1976"/>
      <c r="L26" s="1976"/>
      <c r="M26" s="1976"/>
      <c r="N26" s="1976"/>
    </row>
    <row r="27" spans="1:14">
      <c r="A27" s="1976"/>
      <c r="B27" s="1976"/>
      <c r="C27" s="1976"/>
      <c r="D27" s="1976"/>
      <c r="E27" s="1976"/>
      <c r="F27" s="1976"/>
      <c r="G27" s="1976"/>
      <c r="H27" s="1976"/>
      <c r="I27" s="1976"/>
      <c r="J27" s="1976"/>
      <c r="K27" s="1976"/>
      <c r="L27" s="1976"/>
      <c r="M27" s="1976"/>
      <c r="N27" s="1976"/>
    </row>
    <row r="28" spans="1:14">
      <c r="A28" s="1976"/>
      <c r="B28" s="1976"/>
      <c r="C28" s="1976"/>
      <c r="D28" s="1976"/>
      <c r="E28" s="1976"/>
      <c r="F28" s="1976"/>
      <c r="G28" s="1976"/>
      <c r="H28" s="1976"/>
      <c r="I28" s="1976"/>
      <c r="J28" s="1976"/>
      <c r="K28" s="1976"/>
      <c r="L28" s="1976"/>
      <c r="M28" s="1976"/>
      <c r="N28" s="1976"/>
    </row>
    <row r="29" spans="1:14">
      <c r="A29" s="1976"/>
      <c r="B29" s="1976"/>
      <c r="C29" s="1976"/>
      <c r="D29" s="1976"/>
      <c r="E29" s="1976"/>
      <c r="F29" s="1976"/>
      <c r="G29" s="1976"/>
      <c r="H29" s="1976"/>
      <c r="I29" s="1976"/>
      <c r="J29" s="1976"/>
      <c r="K29" s="1976"/>
      <c r="L29" s="1976"/>
      <c r="M29" s="1976"/>
      <c r="N29" s="1976"/>
    </row>
    <row r="30" spans="1:14">
      <c r="A30" s="1976"/>
      <c r="B30" s="1976"/>
      <c r="C30" s="1976"/>
      <c r="D30" s="1976"/>
      <c r="E30" s="1976"/>
      <c r="F30" s="1976"/>
      <c r="G30" s="1976"/>
      <c r="H30" s="1976"/>
      <c r="I30" s="1976"/>
      <c r="J30" s="1976"/>
      <c r="K30" s="1976"/>
      <c r="L30" s="1976"/>
      <c r="M30" s="1976"/>
      <c r="N30" s="1976"/>
    </row>
    <row r="31" spans="1:14">
      <c r="A31" s="1976"/>
      <c r="B31" s="1976"/>
      <c r="C31" s="1976"/>
      <c r="D31" s="1976"/>
      <c r="E31" s="1976"/>
      <c r="F31" s="1976"/>
      <c r="G31" s="1976"/>
      <c r="H31" s="1976"/>
      <c r="I31" s="1976"/>
      <c r="J31" s="1976"/>
      <c r="K31" s="1976"/>
      <c r="L31" s="1976"/>
      <c r="M31" s="1976"/>
      <c r="N31" s="1976"/>
    </row>
    <row r="32" spans="1:14">
      <c r="A32" s="1976"/>
      <c r="B32" s="1976"/>
      <c r="C32" s="1976"/>
      <c r="D32" s="1976"/>
      <c r="E32" s="1976"/>
      <c r="F32" s="1976"/>
      <c r="G32" s="1976"/>
      <c r="H32" s="1976"/>
      <c r="I32" s="1976"/>
      <c r="J32" s="1976"/>
      <c r="K32" s="1976"/>
      <c r="L32" s="1976"/>
      <c r="M32" s="1976"/>
      <c r="N32" s="1976"/>
    </row>
    <row r="33" spans="1:14">
      <c r="A33" s="1976"/>
      <c r="B33" s="1976"/>
      <c r="C33" s="1976"/>
      <c r="D33" s="1976"/>
      <c r="E33" s="1976"/>
      <c r="F33" s="1976"/>
      <c r="G33" s="1976"/>
      <c r="H33" s="1976"/>
      <c r="I33" s="1976"/>
      <c r="J33" s="1976"/>
      <c r="K33" s="1976"/>
      <c r="L33" s="1976"/>
      <c r="M33" s="1976"/>
      <c r="N33" s="1976"/>
    </row>
    <row r="34" spans="1:14">
      <c r="A34" s="1976"/>
      <c r="B34" s="1976"/>
      <c r="C34" s="1976"/>
      <c r="D34" s="1976"/>
      <c r="E34" s="1976"/>
      <c r="F34" s="1976"/>
      <c r="G34" s="1976"/>
      <c r="H34" s="1976"/>
      <c r="I34" s="1976"/>
      <c r="J34" s="1976"/>
      <c r="K34" s="1976"/>
      <c r="L34" s="1976"/>
      <c r="M34" s="1976"/>
      <c r="N34" s="1976"/>
    </row>
  </sheetData>
  <mergeCells count="1">
    <mergeCell ref="A7:N34"/>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N9"/>
  <sheetViews>
    <sheetView showGridLines="0" view="pageBreakPreview" zoomScaleNormal="100" zoomScaleSheetLayoutView="100" workbookViewId="0">
      <selection activeCell="K5" sqref="K5"/>
    </sheetView>
  </sheetViews>
  <sheetFormatPr baseColWidth="10" defaultColWidth="11.5703125" defaultRowHeight="15"/>
  <cols>
    <col min="1" max="1" width="17.5703125" style="77" customWidth="1"/>
    <col min="2" max="2" width="9" style="1677" customWidth="1"/>
    <col min="3" max="3" width="8.7109375" style="1677" customWidth="1"/>
    <col min="4" max="4" width="9.7109375" style="1677" customWidth="1"/>
    <col min="5" max="5" width="10.28515625" style="1677" customWidth="1"/>
    <col min="6" max="6" width="10.5703125" style="1677" customWidth="1"/>
    <col min="7" max="7" width="10.85546875" style="1677" customWidth="1"/>
    <col min="8" max="8" width="10.7109375" style="1677" customWidth="1"/>
    <col min="9" max="9" width="12.7109375" style="1677" customWidth="1"/>
    <col min="10" max="11" width="11.5703125" style="77"/>
    <col min="12" max="12" width="21.28515625" style="77" customWidth="1"/>
    <col min="13" max="16384" width="11.5703125" style="77"/>
  </cols>
  <sheetData>
    <row r="1" spans="1:14" ht="54.75" customHeight="1">
      <c r="A1" s="1977"/>
      <c r="B1" s="1978"/>
      <c r="C1" s="1978"/>
      <c r="D1" s="1978"/>
      <c r="E1" s="1978"/>
      <c r="F1" s="1978"/>
      <c r="G1" s="1978"/>
      <c r="H1" s="1978"/>
      <c r="I1" s="1978"/>
      <c r="J1" s="1978"/>
      <c r="K1" s="1978"/>
      <c r="L1" s="1978"/>
    </row>
    <row r="2" spans="1:14" s="39" customFormat="1" ht="4.5" customHeight="1">
      <c r="A2" s="201"/>
      <c r="B2" s="1670"/>
      <c r="C2" s="1670"/>
      <c r="D2" s="1670"/>
      <c r="E2" s="1670"/>
      <c r="F2" s="1670"/>
      <c r="G2" s="1670"/>
      <c r="H2" s="1670"/>
      <c r="I2" s="1670"/>
      <c r="J2" s="202"/>
      <c r="K2" s="202"/>
      <c r="L2" s="202"/>
    </row>
    <row r="3" spans="1:14">
      <c r="A3" s="646" t="s">
        <v>414</v>
      </c>
      <c r="B3" s="1671">
        <v>2008</v>
      </c>
      <c r="C3" s="1671">
        <v>2009</v>
      </c>
      <c r="D3" s="1671">
        <v>2010</v>
      </c>
      <c r="E3" s="1671">
        <v>2011</v>
      </c>
      <c r="F3" s="1671">
        <v>2012</v>
      </c>
      <c r="G3" s="1671">
        <v>2013</v>
      </c>
      <c r="H3" s="1671">
        <v>2014</v>
      </c>
      <c r="I3" s="1672" t="s">
        <v>23</v>
      </c>
    </row>
    <row r="4" spans="1:14">
      <c r="A4" s="647" t="s">
        <v>415</v>
      </c>
      <c r="B4" s="1673">
        <v>2518</v>
      </c>
      <c r="C4" s="1673">
        <v>16955</v>
      </c>
      <c r="D4" s="1673">
        <v>18655</v>
      </c>
      <c r="E4" s="1673">
        <v>14305</v>
      </c>
      <c r="F4" s="1673">
        <v>15292</v>
      </c>
      <c r="G4" s="1673">
        <v>19150</v>
      </c>
      <c r="H4" s="1673">
        <v>19193</v>
      </c>
      <c r="I4" s="1674">
        <f>SUM(B4:H4)</f>
        <v>106068</v>
      </c>
      <c r="M4" s="182"/>
    </row>
    <row r="5" spans="1:14">
      <c r="A5" s="647" t="s">
        <v>416</v>
      </c>
      <c r="B5" s="1673">
        <v>1331</v>
      </c>
      <c r="C5" s="1673">
        <v>12867</v>
      </c>
      <c r="D5" s="1673">
        <v>14071</v>
      </c>
      <c r="E5" s="1673">
        <v>10990</v>
      </c>
      <c r="F5" s="1673">
        <v>9470</v>
      </c>
      <c r="G5" s="1673">
        <v>15649</v>
      </c>
      <c r="H5" s="1673">
        <v>14990</v>
      </c>
      <c r="I5" s="1674">
        <f>SUM(B5:H5)</f>
        <v>79368</v>
      </c>
      <c r="M5" s="182"/>
    </row>
    <row r="6" spans="1:14">
      <c r="A6" s="647" t="s">
        <v>423</v>
      </c>
      <c r="B6" s="1673">
        <v>0</v>
      </c>
      <c r="C6" s="1673">
        <v>3795</v>
      </c>
      <c r="D6" s="1673">
        <v>24841</v>
      </c>
      <c r="E6" s="1673">
        <v>33003</v>
      </c>
      <c r="F6" s="1673">
        <v>37654</v>
      </c>
      <c r="G6" s="1673">
        <v>46049</v>
      </c>
      <c r="H6" s="1673">
        <v>59366</v>
      </c>
      <c r="I6" s="1674">
        <f>SUM(B6:H6)</f>
        <v>204708</v>
      </c>
      <c r="M6" s="182"/>
    </row>
    <row r="7" spans="1:14">
      <c r="A7" s="646" t="s">
        <v>23</v>
      </c>
      <c r="B7" s="1675">
        <f t="shared" ref="B7:I7" si="0">SUM(B4:B6)</f>
        <v>3849</v>
      </c>
      <c r="C7" s="1675">
        <f t="shared" si="0"/>
        <v>33617</v>
      </c>
      <c r="D7" s="1675">
        <f t="shared" si="0"/>
        <v>57567</v>
      </c>
      <c r="E7" s="1675">
        <f t="shared" si="0"/>
        <v>58298</v>
      </c>
      <c r="F7" s="1675">
        <f t="shared" si="0"/>
        <v>62416</v>
      </c>
      <c r="G7" s="1675">
        <f>SUM(G4:G6)</f>
        <v>80848</v>
      </c>
      <c r="H7" s="1675">
        <f t="shared" si="0"/>
        <v>93549</v>
      </c>
      <c r="I7" s="1672">
        <f t="shared" si="0"/>
        <v>390144</v>
      </c>
      <c r="M7" s="220"/>
    </row>
    <row r="8" spans="1:14">
      <c r="A8" s="97"/>
      <c r="B8" s="1676"/>
      <c r="C8" s="1676"/>
      <c r="D8" s="1676"/>
      <c r="E8" s="1676"/>
      <c r="F8" s="1676"/>
      <c r="G8" s="1676"/>
      <c r="H8" s="1676"/>
      <c r="I8" s="1676"/>
    </row>
    <row r="9" spans="1:14">
      <c r="N9" s="77" t="s">
        <v>33</v>
      </c>
    </row>
  </sheetData>
  <mergeCells count="1">
    <mergeCell ref="A1:L1"/>
  </mergeCells>
  <pageMargins left="0.7" right="0.7" top="0.75" bottom="0.75" header="0.3" footer="0.3"/>
  <pageSetup scale="84"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M8"/>
  <sheetViews>
    <sheetView showGridLines="0" view="pageBreakPreview" zoomScale="70" zoomScaleNormal="100" zoomScaleSheetLayoutView="70" workbookViewId="0">
      <selection activeCell="K6" sqref="K6"/>
    </sheetView>
  </sheetViews>
  <sheetFormatPr baseColWidth="10" defaultColWidth="11.5703125" defaultRowHeight="22.5" customHeight="1"/>
  <cols>
    <col min="1" max="1" width="22.140625" style="77" customWidth="1"/>
    <col min="2" max="2" width="17.85546875" style="77" customWidth="1"/>
    <col min="3" max="3" width="17.5703125" style="77" customWidth="1"/>
    <col min="4" max="4" width="19" style="77" customWidth="1"/>
    <col min="5" max="5" width="20.140625" style="77" customWidth="1"/>
    <col min="6" max="6" width="20.42578125" style="77" customWidth="1"/>
    <col min="7" max="7" width="20.140625" style="77" customWidth="1"/>
    <col min="8" max="8" width="19.5703125" style="77" customWidth="1"/>
    <col min="9" max="9" width="25.85546875" style="77" customWidth="1"/>
    <col min="10" max="10" width="16.7109375" style="77" bestFit="1" customWidth="1"/>
    <col min="11" max="11" width="14.5703125" style="77" customWidth="1"/>
    <col min="12" max="12" width="16.85546875" style="77" customWidth="1"/>
    <col min="13" max="16384" width="11.5703125" style="77"/>
  </cols>
  <sheetData>
    <row r="1" spans="1:13" ht="81" customHeight="1">
      <c r="A1" s="1880"/>
      <c r="B1" s="1836"/>
      <c r="C1" s="1836"/>
      <c r="D1" s="1836"/>
      <c r="E1" s="1836"/>
      <c r="F1" s="1836"/>
      <c r="G1" s="1836"/>
      <c r="H1" s="1836"/>
      <c r="I1" s="1836"/>
      <c r="J1" s="1836"/>
      <c r="K1" s="1836"/>
      <c r="L1" s="1836"/>
      <c r="M1" s="1836"/>
    </row>
    <row r="2" spans="1:13" ht="4.5" customHeight="1"/>
    <row r="3" spans="1:13" ht="22.5" hidden="1" customHeight="1"/>
    <row r="4" spans="1:13" ht="22.5" customHeight="1">
      <c r="A4" s="648" t="s">
        <v>414</v>
      </c>
      <c r="B4" s="651">
        <v>2008</v>
      </c>
      <c r="C4" s="651">
        <v>2009</v>
      </c>
      <c r="D4" s="651">
        <v>2010</v>
      </c>
      <c r="E4" s="651">
        <v>2011</v>
      </c>
      <c r="F4" s="651">
        <v>2012</v>
      </c>
      <c r="G4" s="651">
        <v>2013</v>
      </c>
      <c r="H4" s="651">
        <v>2014</v>
      </c>
      <c r="I4" s="648" t="s">
        <v>23</v>
      </c>
    </row>
    <row r="5" spans="1:13" ht="18.75">
      <c r="A5" s="653" t="s">
        <v>415</v>
      </c>
      <c r="B5" s="650">
        <f>70.29</f>
        <v>70.290000000000006</v>
      </c>
      <c r="C5" s="650">
        <v>570.66999999999996</v>
      </c>
      <c r="D5" s="650">
        <v>668.91</v>
      </c>
      <c r="E5" s="650">
        <v>537.49</v>
      </c>
      <c r="F5" s="650">
        <v>571.48</v>
      </c>
      <c r="G5" s="650">
        <v>765.36</v>
      </c>
      <c r="H5" s="650">
        <f>829.13</f>
        <v>829.13</v>
      </c>
      <c r="I5" s="654">
        <f>SUM(B5:H5)</f>
        <v>4013.3300000000004</v>
      </c>
    </row>
    <row r="6" spans="1:13" ht="18.75">
      <c r="A6" s="653" t="s">
        <v>416</v>
      </c>
      <c r="B6" s="650">
        <f>19.01</f>
        <v>19.010000000000002</v>
      </c>
      <c r="C6" s="650">
        <v>181.91</v>
      </c>
      <c r="D6" s="650">
        <v>196.35</v>
      </c>
      <c r="E6" s="650">
        <v>153.53</v>
      </c>
      <c r="F6" s="650">
        <v>133.61000000000001</v>
      </c>
      <c r="G6" s="650">
        <v>226.31</v>
      </c>
      <c r="H6" s="650">
        <f>211.58</f>
        <v>211.58</v>
      </c>
      <c r="I6" s="654">
        <f>SUM(B6:H6)</f>
        <v>1122.3</v>
      </c>
    </row>
    <row r="7" spans="1:13" ht="18.75">
      <c r="A7" s="653" t="s">
        <v>422</v>
      </c>
      <c r="B7" s="650">
        <v>0</v>
      </c>
      <c r="C7" s="650">
        <v>14.43</v>
      </c>
      <c r="D7" s="650">
        <v>101</v>
      </c>
      <c r="E7" s="650">
        <v>134.1</v>
      </c>
      <c r="F7" s="650">
        <v>157.84</v>
      </c>
      <c r="G7" s="650">
        <v>211.27</v>
      </c>
      <c r="H7" s="650">
        <f>248.73</f>
        <v>248.73</v>
      </c>
      <c r="I7" s="654">
        <f>SUM(B7:H7)</f>
        <v>867.37</v>
      </c>
    </row>
    <row r="8" spans="1:13" ht="22.5" customHeight="1">
      <c r="A8" s="648" t="s">
        <v>23</v>
      </c>
      <c r="B8" s="652">
        <f>SUM(B5:B7)</f>
        <v>89.300000000000011</v>
      </c>
      <c r="C8" s="652">
        <f>SUM(C5:C7)</f>
        <v>767.00999999999988</v>
      </c>
      <c r="D8" s="652">
        <f t="shared" ref="D8:I8" si="0">SUM(D5:D7)</f>
        <v>966.26</v>
      </c>
      <c r="E8" s="652">
        <f t="shared" si="0"/>
        <v>825.12</v>
      </c>
      <c r="F8" s="652">
        <f t="shared" si="0"/>
        <v>862.93000000000006</v>
      </c>
      <c r="G8" s="652">
        <f t="shared" si="0"/>
        <v>1202.94</v>
      </c>
      <c r="H8" s="652">
        <f t="shared" si="0"/>
        <v>1289.44</v>
      </c>
      <c r="I8" s="649">
        <f t="shared" si="0"/>
        <v>6003</v>
      </c>
    </row>
  </sheetData>
  <mergeCells count="1">
    <mergeCell ref="A1:M1"/>
  </mergeCells>
  <pageMargins left="0.70866141732283472" right="0.70866141732283472" top="0.74803149606299213" bottom="0.74803149606299213" header="0.31496062992125984" footer="0.31496062992125984"/>
  <pageSetup scale="5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Normal="100" zoomScaleSheetLayoutView="100" workbookViewId="0">
      <selection activeCell="N32" sqref="N32"/>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5:O33"/>
  <sheetViews>
    <sheetView showGridLines="0" view="pageBreakPreview" zoomScaleNormal="100" zoomScaleSheetLayoutView="100" workbookViewId="0">
      <selection activeCell="M30" sqref="M30"/>
    </sheetView>
  </sheetViews>
  <sheetFormatPr baseColWidth="10" defaultColWidth="11.42578125" defaultRowHeight="15"/>
  <cols>
    <col min="1" max="6" width="11.42578125" style="77"/>
    <col min="7" max="7" width="8.85546875" style="77" customWidth="1"/>
    <col min="8" max="8" width="11.42578125" style="77"/>
    <col min="9" max="9" width="11.5703125" style="77" customWidth="1"/>
    <col min="10" max="12" width="11.42578125" style="77"/>
    <col min="13" max="13" width="10.85546875" style="77" customWidth="1"/>
    <col min="14" max="16384" width="11.42578125" style="77"/>
  </cols>
  <sheetData>
    <row r="5" spans="1:12" ht="21.75" customHeight="1">
      <c r="A5" s="1979" t="s">
        <v>975</v>
      </c>
      <c r="B5" s="1980"/>
      <c r="C5" s="1980"/>
      <c r="D5" s="1980"/>
      <c r="E5" s="1980"/>
      <c r="F5" s="1980"/>
      <c r="G5" s="1980"/>
      <c r="H5" s="1980"/>
      <c r="I5" s="1980"/>
      <c r="J5" s="1980"/>
      <c r="K5" s="1980"/>
      <c r="L5" s="1980"/>
    </row>
    <row r="6" spans="1:12">
      <c r="A6" s="1980"/>
      <c r="B6" s="1980"/>
      <c r="C6" s="1980"/>
      <c r="D6" s="1980"/>
      <c r="E6" s="1980"/>
      <c r="F6" s="1980"/>
      <c r="G6" s="1980"/>
      <c r="H6" s="1980"/>
      <c r="I6" s="1980"/>
      <c r="J6" s="1980"/>
      <c r="K6" s="1980"/>
      <c r="L6" s="1980"/>
    </row>
    <row r="7" spans="1:12">
      <c r="A7" s="1980"/>
      <c r="B7" s="1980"/>
      <c r="C7" s="1980"/>
      <c r="D7" s="1980"/>
      <c r="E7" s="1980"/>
      <c r="F7" s="1980"/>
      <c r="G7" s="1980"/>
      <c r="H7" s="1980"/>
      <c r="I7" s="1980"/>
      <c r="J7" s="1980"/>
      <c r="K7" s="1980"/>
      <c r="L7" s="1980"/>
    </row>
    <row r="8" spans="1:12">
      <c r="A8" s="1980"/>
      <c r="B8" s="1980"/>
      <c r="C8" s="1980"/>
      <c r="D8" s="1980"/>
      <c r="E8" s="1980"/>
      <c r="F8" s="1980"/>
      <c r="G8" s="1980"/>
      <c r="H8" s="1980"/>
      <c r="I8" s="1980"/>
      <c r="J8" s="1980"/>
      <c r="K8" s="1980"/>
      <c r="L8" s="1980"/>
    </row>
    <row r="9" spans="1:12">
      <c r="A9" s="1980"/>
      <c r="B9" s="1980"/>
      <c r="C9" s="1980"/>
      <c r="D9" s="1980"/>
      <c r="E9" s="1980"/>
      <c r="F9" s="1980"/>
      <c r="G9" s="1980"/>
      <c r="H9" s="1980"/>
      <c r="I9" s="1980"/>
      <c r="J9" s="1980"/>
      <c r="K9" s="1980"/>
      <c r="L9" s="1980"/>
    </row>
    <row r="10" spans="1:12">
      <c r="A10" s="1980"/>
      <c r="B10" s="1980"/>
      <c r="C10" s="1980"/>
      <c r="D10" s="1980"/>
      <c r="E10" s="1980"/>
      <c r="F10" s="1980"/>
      <c r="G10" s="1980"/>
      <c r="H10" s="1980"/>
      <c r="I10" s="1980"/>
      <c r="J10" s="1980"/>
      <c r="K10" s="1980"/>
      <c r="L10" s="1980"/>
    </row>
    <row r="11" spans="1:12">
      <c r="A11" s="1980"/>
      <c r="B11" s="1980"/>
      <c r="C11" s="1980"/>
      <c r="D11" s="1980"/>
      <c r="E11" s="1980"/>
      <c r="F11" s="1980"/>
      <c r="G11" s="1980"/>
      <c r="H11" s="1980"/>
      <c r="I11" s="1980"/>
      <c r="J11" s="1980"/>
      <c r="K11" s="1980"/>
      <c r="L11" s="1980"/>
    </row>
    <row r="12" spans="1:12">
      <c r="A12" s="1980"/>
      <c r="B12" s="1980"/>
      <c r="C12" s="1980"/>
      <c r="D12" s="1980"/>
      <c r="E12" s="1980"/>
      <c r="F12" s="1980"/>
      <c r="G12" s="1980"/>
      <c r="H12" s="1980"/>
      <c r="I12" s="1980"/>
      <c r="J12" s="1980"/>
      <c r="K12" s="1980"/>
      <c r="L12" s="1980"/>
    </row>
    <row r="13" spans="1:12">
      <c r="A13" s="1980"/>
      <c r="B13" s="1980"/>
      <c r="C13" s="1980"/>
      <c r="D13" s="1980"/>
      <c r="E13" s="1980"/>
      <c r="F13" s="1980"/>
      <c r="G13" s="1980"/>
      <c r="H13" s="1980"/>
      <c r="I13" s="1980"/>
      <c r="J13" s="1980"/>
      <c r="K13" s="1980"/>
      <c r="L13" s="1980"/>
    </row>
    <row r="14" spans="1:12">
      <c r="A14" s="1980"/>
      <c r="B14" s="1980"/>
      <c r="C14" s="1980"/>
      <c r="D14" s="1980"/>
      <c r="E14" s="1980"/>
      <c r="F14" s="1980"/>
      <c r="G14" s="1980"/>
      <c r="H14" s="1980"/>
      <c r="I14" s="1980"/>
      <c r="J14" s="1980"/>
      <c r="K14" s="1980"/>
      <c r="L14" s="1980"/>
    </row>
    <row r="15" spans="1:12">
      <c r="A15" s="1980"/>
      <c r="B15" s="1980"/>
      <c r="C15" s="1980"/>
      <c r="D15" s="1980"/>
      <c r="E15" s="1980"/>
      <c r="F15" s="1980"/>
      <c r="G15" s="1980"/>
      <c r="H15" s="1980"/>
      <c r="I15" s="1980"/>
      <c r="J15" s="1980"/>
      <c r="K15" s="1980"/>
      <c r="L15" s="1980"/>
    </row>
    <row r="16" spans="1:12">
      <c r="A16" s="1980"/>
      <c r="B16" s="1980"/>
      <c r="C16" s="1980"/>
      <c r="D16" s="1980"/>
      <c r="E16" s="1980"/>
      <c r="F16" s="1980"/>
      <c r="G16" s="1980"/>
      <c r="H16" s="1980"/>
      <c r="I16" s="1980"/>
      <c r="J16" s="1980"/>
      <c r="K16" s="1980"/>
      <c r="L16" s="1980"/>
    </row>
    <row r="17" spans="1:15">
      <c r="A17" s="1980"/>
      <c r="B17" s="1980"/>
      <c r="C17" s="1980"/>
      <c r="D17" s="1980"/>
      <c r="E17" s="1980"/>
      <c r="F17" s="1980"/>
      <c r="G17" s="1980"/>
      <c r="H17" s="1980"/>
      <c r="I17" s="1980"/>
      <c r="J17" s="1980"/>
      <c r="K17" s="1980"/>
      <c r="L17" s="1980"/>
    </row>
    <row r="18" spans="1:15">
      <c r="A18" s="1980"/>
      <c r="B18" s="1980"/>
      <c r="C18" s="1980"/>
      <c r="D18" s="1980"/>
      <c r="E18" s="1980"/>
      <c r="F18" s="1980"/>
      <c r="G18" s="1980"/>
      <c r="H18" s="1980"/>
      <c r="I18" s="1980"/>
      <c r="J18" s="1980"/>
      <c r="K18" s="1980"/>
      <c r="L18" s="1980"/>
    </row>
    <row r="19" spans="1:15">
      <c r="A19" s="1980"/>
      <c r="B19" s="1980"/>
      <c r="C19" s="1980"/>
      <c r="D19" s="1980"/>
      <c r="E19" s="1980"/>
      <c r="F19" s="1980"/>
      <c r="G19" s="1980"/>
      <c r="H19" s="1980"/>
      <c r="I19" s="1980"/>
      <c r="J19" s="1980"/>
      <c r="K19" s="1980"/>
      <c r="L19" s="1980"/>
    </row>
    <row r="20" spans="1:15">
      <c r="A20" s="1980"/>
      <c r="B20" s="1980"/>
      <c r="C20" s="1980"/>
      <c r="D20" s="1980"/>
      <c r="E20" s="1980"/>
      <c r="F20" s="1980"/>
      <c r="G20" s="1980"/>
      <c r="H20" s="1980"/>
      <c r="I20" s="1980"/>
      <c r="J20" s="1980"/>
      <c r="K20" s="1980"/>
      <c r="L20" s="1980"/>
    </row>
    <row r="21" spans="1:15">
      <c r="A21" s="1980"/>
      <c r="B21" s="1980"/>
      <c r="C21" s="1980"/>
      <c r="D21" s="1980"/>
      <c r="E21" s="1980"/>
      <c r="F21" s="1980"/>
      <c r="G21" s="1980"/>
      <c r="H21" s="1980"/>
      <c r="I21" s="1980"/>
      <c r="J21" s="1980"/>
      <c r="K21" s="1980"/>
      <c r="L21" s="1980"/>
    </row>
    <row r="22" spans="1:15">
      <c r="A22" s="1980"/>
      <c r="B22" s="1980"/>
      <c r="C22" s="1980"/>
      <c r="D22" s="1980"/>
      <c r="E22" s="1980"/>
      <c r="F22" s="1980"/>
      <c r="G22" s="1980"/>
      <c r="H22" s="1980"/>
      <c r="I22" s="1980"/>
      <c r="J22" s="1980"/>
      <c r="K22" s="1980"/>
      <c r="L22" s="1980"/>
    </row>
    <row r="23" spans="1:15">
      <c r="A23" s="1980"/>
      <c r="B23" s="1980"/>
      <c r="C23" s="1980"/>
      <c r="D23" s="1980"/>
      <c r="E23" s="1980"/>
      <c r="F23" s="1980"/>
      <c r="G23" s="1980"/>
      <c r="H23" s="1980"/>
      <c r="I23" s="1980"/>
      <c r="J23" s="1980"/>
      <c r="K23" s="1980"/>
      <c r="L23" s="1980"/>
      <c r="N23" s="284"/>
      <c r="O23" s="284"/>
    </row>
    <row r="24" spans="1:15">
      <c r="A24" s="1980"/>
      <c r="B24" s="1980"/>
      <c r="C24" s="1980"/>
      <c r="D24" s="1980"/>
      <c r="E24" s="1980"/>
      <c r="F24" s="1980"/>
      <c r="G24" s="1980"/>
      <c r="H24" s="1980"/>
      <c r="I24" s="1980"/>
      <c r="J24" s="1980"/>
      <c r="K24" s="1980"/>
      <c r="L24" s="1980"/>
    </row>
    <row r="25" spans="1:15">
      <c r="A25" s="1980"/>
      <c r="B25" s="1980"/>
      <c r="C25" s="1980"/>
      <c r="D25" s="1980"/>
      <c r="E25" s="1980"/>
      <c r="F25" s="1980"/>
      <c r="G25" s="1980"/>
      <c r="H25" s="1980"/>
      <c r="I25" s="1980"/>
      <c r="J25" s="1980"/>
      <c r="K25" s="1980"/>
      <c r="L25" s="1980"/>
    </row>
    <row r="26" spans="1:15">
      <c r="A26" s="1980"/>
      <c r="B26" s="1980"/>
      <c r="C26" s="1980"/>
      <c r="D26" s="1980"/>
      <c r="E26" s="1980"/>
      <c r="F26" s="1980"/>
      <c r="G26" s="1980"/>
      <c r="H26" s="1980"/>
      <c r="I26" s="1980"/>
      <c r="J26" s="1980"/>
      <c r="K26" s="1980"/>
      <c r="L26" s="1980"/>
    </row>
    <row r="27" spans="1:15">
      <c r="A27" s="1980"/>
      <c r="B27" s="1980"/>
      <c r="C27" s="1980"/>
      <c r="D27" s="1980"/>
      <c r="E27" s="1980"/>
      <c r="F27" s="1980"/>
      <c r="G27" s="1980"/>
      <c r="H27" s="1980"/>
      <c r="I27" s="1980"/>
      <c r="J27" s="1980"/>
      <c r="K27" s="1980"/>
      <c r="L27" s="1980"/>
    </row>
    <row r="28" spans="1:15">
      <c r="A28" s="1980"/>
      <c r="B28" s="1980"/>
      <c r="C28" s="1980"/>
      <c r="D28" s="1980"/>
      <c r="E28" s="1980"/>
      <c r="F28" s="1980"/>
      <c r="G28" s="1980"/>
      <c r="H28" s="1980"/>
      <c r="I28" s="1980"/>
      <c r="J28" s="1980"/>
      <c r="K28" s="1980"/>
      <c r="L28" s="1980"/>
    </row>
    <row r="29" spans="1:15">
      <c r="A29" s="1980"/>
      <c r="B29" s="1980"/>
      <c r="C29" s="1980"/>
      <c r="D29" s="1980"/>
      <c r="E29" s="1980"/>
      <c r="F29" s="1980"/>
      <c r="G29" s="1980"/>
      <c r="H29" s="1980"/>
      <c r="I29" s="1980"/>
      <c r="J29" s="1980"/>
      <c r="K29" s="1980"/>
      <c r="L29" s="1980"/>
    </row>
    <row r="30" spans="1:15">
      <c r="A30" s="1980"/>
      <c r="B30" s="1980"/>
      <c r="C30" s="1980"/>
      <c r="D30" s="1980"/>
      <c r="E30" s="1980"/>
      <c r="F30" s="1980"/>
      <c r="G30" s="1980"/>
      <c r="H30" s="1980"/>
      <c r="I30" s="1980"/>
      <c r="J30" s="1980"/>
      <c r="K30" s="1980"/>
      <c r="L30" s="1980"/>
    </row>
    <row r="31" spans="1:15">
      <c r="A31" s="1980"/>
      <c r="B31" s="1980"/>
      <c r="C31" s="1980"/>
      <c r="D31" s="1980"/>
      <c r="E31" s="1980"/>
      <c r="F31" s="1980"/>
      <c r="G31" s="1980"/>
      <c r="H31" s="1980"/>
      <c r="I31" s="1980"/>
      <c r="J31" s="1980"/>
      <c r="K31" s="1980"/>
      <c r="L31" s="1980"/>
    </row>
    <row r="32" spans="1:15">
      <c r="A32" s="1980"/>
      <c r="B32" s="1980"/>
      <c r="C32" s="1980"/>
      <c r="D32" s="1980"/>
      <c r="E32" s="1980"/>
      <c r="F32" s="1980"/>
      <c r="G32" s="1980"/>
      <c r="H32" s="1980"/>
      <c r="I32" s="1980"/>
      <c r="J32" s="1980"/>
      <c r="K32" s="1980"/>
      <c r="L32" s="1980"/>
    </row>
    <row r="33" spans="1:12">
      <c r="A33" s="1980"/>
      <c r="B33" s="1980"/>
      <c r="C33" s="1980"/>
      <c r="D33" s="1980"/>
      <c r="E33" s="1980"/>
      <c r="F33" s="1980"/>
      <c r="G33" s="1980"/>
      <c r="H33" s="1980"/>
      <c r="I33" s="1980"/>
      <c r="J33" s="1980"/>
      <c r="K33" s="1980"/>
      <c r="L33" s="1980"/>
    </row>
  </sheetData>
  <mergeCells count="1">
    <mergeCell ref="A5:L33"/>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U37"/>
  <sheetViews>
    <sheetView showGridLines="0" view="pageBreakPreview" topLeftCell="E1" zoomScale="70" zoomScaleNormal="85" zoomScaleSheetLayoutView="70" workbookViewId="0">
      <selection activeCell="Q18" sqref="Q18"/>
    </sheetView>
  </sheetViews>
  <sheetFormatPr baseColWidth="10" defaultColWidth="11.42578125" defaultRowHeight="13.5" customHeight="1"/>
  <cols>
    <col min="1" max="1" width="24.42578125" style="70" customWidth="1"/>
    <col min="2" max="2" width="18" style="70" customWidth="1"/>
    <col min="3" max="3" width="17.5703125" style="70" hidden="1" customWidth="1"/>
    <col min="4" max="4" width="22.140625" style="70" customWidth="1"/>
    <col min="5" max="5" width="19.85546875" style="70" customWidth="1"/>
    <col min="6" max="6" width="2.85546875" style="70" hidden="1" customWidth="1"/>
    <col min="7" max="7" width="24.5703125" style="70" customWidth="1"/>
    <col min="8" max="8" width="22.85546875" style="70" customWidth="1"/>
    <col min="9" max="11" width="21.42578125" style="70" customWidth="1"/>
    <col min="12" max="12" width="21.85546875" style="70" customWidth="1"/>
    <col min="13" max="13" width="20.28515625" style="70" customWidth="1"/>
    <col min="14" max="14" width="21.5703125" style="70" customWidth="1"/>
    <col min="15" max="15" width="6.28515625" style="70" customWidth="1"/>
    <col min="16" max="16" width="16.28515625" style="70" customWidth="1"/>
    <col min="17" max="17" width="13.42578125" style="70" customWidth="1"/>
    <col min="18" max="18" width="13.7109375" style="70" customWidth="1"/>
    <col min="19" max="16384" width="11.42578125" style="70"/>
  </cols>
  <sheetData>
    <row r="2" spans="1:21" ht="65.25" customHeight="1"/>
    <row r="3" spans="1:21" ht="39.75" customHeight="1">
      <c r="A3" s="1830"/>
      <c r="B3" s="1830"/>
      <c r="C3" s="1830"/>
      <c r="D3" s="1830"/>
      <c r="E3" s="1830"/>
      <c r="F3" s="1830"/>
      <c r="G3" s="1830"/>
      <c r="H3" s="1830"/>
      <c r="I3" s="1830"/>
      <c r="J3" s="1830"/>
      <c r="K3" s="1830"/>
      <c r="L3" s="1830"/>
      <c r="M3" s="1830"/>
      <c r="N3" s="1830"/>
      <c r="P3"/>
      <c r="Q3"/>
    </row>
    <row r="4" spans="1:21" s="306" customFormat="1" ht="61.5" customHeight="1">
      <c r="A4" s="310" t="s">
        <v>590</v>
      </c>
      <c r="B4" s="350" t="s">
        <v>551</v>
      </c>
      <c r="C4" s="350" t="s">
        <v>550</v>
      </c>
      <c r="D4" s="350" t="s">
        <v>548</v>
      </c>
      <c r="E4" s="350" t="s">
        <v>552</v>
      </c>
      <c r="F4" s="350" t="s">
        <v>580</v>
      </c>
      <c r="G4" s="351" t="s">
        <v>549</v>
      </c>
      <c r="H4" s="300"/>
      <c r="I4" s="301"/>
      <c r="J4" s="301"/>
      <c r="K4" s="301"/>
      <c r="L4" s="302"/>
      <c r="M4" s="302"/>
      <c r="N4" s="302"/>
      <c r="O4" s="302"/>
      <c r="P4" s="303"/>
      <c r="Q4" s="304"/>
      <c r="R4" s="305"/>
      <c r="U4" s="307"/>
    </row>
    <row r="5" spans="1:21" ht="21">
      <c r="A5" s="352" t="s">
        <v>591</v>
      </c>
      <c r="B5" s="1612">
        <v>40107</v>
      </c>
      <c r="C5" s="403"/>
      <c r="D5" s="1505">
        <f>+B5/$B$14</f>
        <v>0.58546946163727664</v>
      </c>
      <c r="E5" s="403">
        <v>102540</v>
      </c>
      <c r="F5" s="403"/>
      <c r="G5" s="404">
        <f t="shared" ref="G5:G13" si="0">+E5/$F$14</f>
        <v>6.0077900894313516E-2</v>
      </c>
      <c r="H5" s="77"/>
      <c r="I5" s="124"/>
      <c r="J5" s="124"/>
      <c r="K5" s="124"/>
      <c r="L5" s="260"/>
      <c r="M5" s="257"/>
      <c r="N5" s="257"/>
      <c r="O5" s="258"/>
      <c r="P5" s="407"/>
      <c r="Q5" s="259"/>
      <c r="U5" s="170"/>
    </row>
    <row r="6" spans="1:21" ht="18.75">
      <c r="A6" s="352" t="s">
        <v>592</v>
      </c>
      <c r="B6" s="1613">
        <v>12115</v>
      </c>
      <c r="C6" s="405"/>
      <c r="D6" s="1506">
        <f t="shared" ref="D6:D13" si="1">+B6/$B$14</f>
        <v>0.1768509868036903</v>
      </c>
      <c r="E6" s="405">
        <v>91859</v>
      </c>
      <c r="F6" s="405"/>
      <c r="G6" s="406">
        <f t="shared" si="0"/>
        <v>5.3819932692127419E-2</v>
      </c>
      <c r="H6" s="77"/>
      <c r="I6" s="124"/>
      <c r="J6" s="124"/>
      <c r="K6" s="124"/>
      <c r="L6" s="260"/>
      <c r="M6" s="257"/>
      <c r="N6" s="257"/>
      <c r="O6" s="258"/>
      <c r="P6" s="405"/>
      <c r="Q6" s="405"/>
      <c r="R6" s="405"/>
      <c r="S6" s="405"/>
      <c r="U6" s="170"/>
    </row>
    <row r="7" spans="1:21" ht="18.75">
      <c r="A7" s="352" t="s">
        <v>593</v>
      </c>
      <c r="B7" s="1613">
        <v>7561</v>
      </c>
      <c r="C7" s="405"/>
      <c r="D7" s="1506">
        <f t="shared" si="1"/>
        <v>0.11037311689828332</v>
      </c>
      <c r="E7" s="405">
        <v>109277</v>
      </c>
      <c r="F7" s="405"/>
      <c r="G7" s="406">
        <f t="shared" si="0"/>
        <v>6.4025090462530701E-2</v>
      </c>
      <c r="H7" s="77"/>
      <c r="I7" s="124"/>
      <c r="J7" s="124"/>
      <c r="K7" s="124"/>
      <c r="L7" s="260"/>
      <c r="M7" s="257"/>
      <c r="N7" s="257"/>
      <c r="O7" s="258"/>
      <c r="P7" s="405"/>
      <c r="Q7" s="405"/>
      <c r="R7" s="405"/>
      <c r="S7" s="405"/>
      <c r="U7" s="170"/>
    </row>
    <row r="8" spans="1:21" ht="18.75">
      <c r="A8" s="352" t="s">
        <v>594</v>
      </c>
      <c r="B8" s="1613">
        <v>5116</v>
      </c>
      <c r="C8" s="405"/>
      <c r="D8" s="1506">
        <f t="shared" si="1"/>
        <v>7.4681770407567447E-2</v>
      </c>
      <c r="E8" s="405">
        <v>159159</v>
      </c>
      <c r="F8" s="405"/>
      <c r="G8" s="406">
        <f t="shared" si="0"/>
        <v>9.325081556892964E-2</v>
      </c>
      <c r="H8" s="139"/>
      <c r="I8" s="259"/>
      <c r="J8" s="259"/>
      <c r="K8" s="259"/>
      <c r="L8" s="261"/>
      <c r="M8" s="257"/>
      <c r="N8" s="257"/>
      <c r="O8" s="258"/>
      <c r="P8" s="405"/>
      <c r="Q8" s="405"/>
      <c r="R8" s="405"/>
      <c r="S8" s="405"/>
    </row>
    <row r="9" spans="1:21" ht="18.75">
      <c r="A9" s="352" t="s">
        <v>595</v>
      </c>
      <c r="B9" s="1613">
        <v>1664</v>
      </c>
      <c r="C9" s="405"/>
      <c r="D9" s="1506">
        <f t="shared" si="1"/>
        <v>2.4290552376503561E-2</v>
      </c>
      <c r="E9" s="405">
        <v>117141</v>
      </c>
      <c r="F9" s="405"/>
      <c r="G9" s="406">
        <f t="shared" si="0"/>
        <v>6.8632586197198947E-2</v>
      </c>
      <c r="H9" s="170"/>
      <c r="I9" s="262"/>
      <c r="J9" s="262"/>
      <c r="K9" s="262"/>
      <c r="L9" s="261"/>
      <c r="M9" s="257"/>
      <c r="N9" s="257"/>
      <c r="O9" s="258"/>
      <c r="P9" s="405"/>
      <c r="Q9" s="405"/>
      <c r="R9" s="405"/>
      <c r="S9" s="405"/>
      <c r="U9" s="170"/>
    </row>
    <row r="10" spans="1:21" ht="18.75">
      <c r="A10" s="352" t="s">
        <v>596</v>
      </c>
      <c r="B10" s="1613">
        <v>1521</v>
      </c>
      <c r="C10" s="405"/>
      <c r="D10" s="1506">
        <f t="shared" si="1"/>
        <v>2.2203083031647787E-2</v>
      </c>
      <c r="E10" s="405">
        <v>313765</v>
      </c>
      <c r="F10" s="405"/>
      <c r="G10" s="406">
        <f t="shared" si="0"/>
        <v>0.18383404109717458</v>
      </c>
      <c r="H10" s="77"/>
      <c r="I10" s="124"/>
      <c r="J10" s="124"/>
      <c r="K10" s="124"/>
      <c r="L10" s="261"/>
      <c r="M10" s="257"/>
      <c r="N10" s="257"/>
      <c r="O10" s="258"/>
      <c r="P10" s="405"/>
      <c r="Q10" s="405"/>
      <c r="R10" s="405"/>
      <c r="S10" s="405"/>
    </row>
    <row r="11" spans="1:21" ht="18.75">
      <c r="A11" s="352" t="s">
        <v>597</v>
      </c>
      <c r="B11" s="1613">
        <v>218</v>
      </c>
      <c r="C11" s="405"/>
      <c r="D11" s="1506">
        <f t="shared" si="1"/>
        <v>3.1822959243255869E-3</v>
      </c>
      <c r="E11" s="405">
        <v>152785</v>
      </c>
      <c r="F11" s="405"/>
      <c r="G11" s="406">
        <f t="shared" si="0"/>
        <v>8.9516306691414971E-2</v>
      </c>
      <c r="H11" s="77"/>
      <c r="I11" s="124"/>
      <c r="J11" s="124"/>
      <c r="K11" s="124"/>
      <c r="L11" s="261"/>
      <c r="M11" s="257"/>
      <c r="N11" s="257"/>
      <c r="O11" s="258"/>
      <c r="P11" s="405"/>
      <c r="Q11" s="405"/>
      <c r="R11" s="405"/>
      <c r="S11" s="405"/>
    </row>
    <row r="12" spans="1:21" ht="18.75">
      <c r="A12" s="352" t="s">
        <v>598</v>
      </c>
      <c r="B12" s="1613">
        <v>199</v>
      </c>
      <c r="C12" s="405"/>
      <c r="D12" s="1506">
        <f t="shared" si="1"/>
        <v>2.9049398575265676E-3</v>
      </c>
      <c r="E12" s="405">
        <v>428421</v>
      </c>
      <c r="F12" s="405"/>
      <c r="G12" s="406">
        <f t="shared" si="0"/>
        <v>0.2510106727037516</v>
      </c>
      <c r="H12" s="100"/>
      <c r="I12" s="100"/>
      <c r="J12" s="100"/>
      <c r="K12" s="100"/>
      <c r="L12" s="261"/>
      <c r="M12" s="257"/>
      <c r="N12" s="257"/>
      <c r="O12" s="262"/>
      <c r="P12" s="405"/>
      <c r="Q12" s="405"/>
      <c r="R12" s="405"/>
      <c r="S12" s="405"/>
    </row>
    <row r="13" spans="1:21" ht="18.75">
      <c r="A13" s="352" t="s">
        <v>599</v>
      </c>
      <c r="B13" s="1613">
        <v>3</v>
      </c>
      <c r="C13" s="405"/>
      <c r="D13" s="1506">
        <f t="shared" si="1"/>
        <v>4.3793063178792478E-5</v>
      </c>
      <c r="E13" s="405">
        <v>231837</v>
      </c>
      <c r="F13" s="405"/>
      <c r="G13" s="406">
        <f t="shared" si="0"/>
        <v>0.13583265369255865</v>
      </c>
      <c r="H13" s="100"/>
      <c r="I13" s="100"/>
      <c r="J13" s="100"/>
      <c r="K13" s="100"/>
      <c r="L13" s="263"/>
      <c r="M13" s="257"/>
      <c r="N13" s="257"/>
      <c r="O13" s="258"/>
      <c r="P13" s="405"/>
      <c r="Q13" s="405"/>
      <c r="R13" s="405"/>
      <c r="S13" s="405"/>
    </row>
    <row r="14" spans="1:21" ht="18.75" customHeight="1">
      <c r="A14" s="353" t="s">
        <v>23</v>
      </c>
      <c r="B14" s="408">
        <f>SUM(B5:B13)</f>
        <v>68504</v>
      </c>
      <c r="C14" s="409">
        <f>SUM(B5:B13)</f>
        <v>68504</v>
      </c>
      <c r="D14" s="410">
        <f>SUM(D5:D13)</f>
        <v>1</v>
      </c>
      <c r="E14" s="409">
        <f>SUM(E5:E13)</f>
        <v>1706784</v>
      </c>
      <c r="F14" s="409">
        <f>SUM(E5:E13)</f>
        <v>1706784</v>
      </c>
      <c r="G14" s="411">
        <f>SUM(G5:G13)</f>
        <v>1</v>
      </c>
      <c r="H14" s="100"/>
      <c r="I14" s="100"/>
      <c r="J14" s="100"/>
      <c r="K14" s="100"/>
      <c r="L14" s="263"/>
      <c r="M14" s="257"/>
      <c r="N14" s="257"/>
      <c r="O14" s="258"/>
      <c r="P14" s="405"/>
      <c r="Q14" s="405"/>
      <c r="R14" s="405"/>
      <c r="S14" s="405"/>
    </row>
    <row r="15" spans="1:21" ht="13.5" customHeight="1">
      <c r="A15" s="100"/>
      <c r="B15" s="100"/>
      <c r="C15" s="100"/>
      <c r="D15" s="100"/>
      <c r="E15" s="100"/>
      <c r="F15" s="100"/>
      <c r="G15" s="100"/>
      <c r="H15" s="100"/>
      <c r="I15" s="100"/>
      <c r="J15" s="100"/>
      <c r="K15" s="100"/>
      <c r="L15" s="100"/>
      <c r="M15" s="100"/>
      <c r="P15" s="405"/>
      <c r="Q15" s="405"/>
      <c r="R15" s="405"/>
      <c r="S15" s="405"/>
    </row>
    <row r="16" spans="1:21" ht="13.5" customHeight="1">
      <c r="A16" s="100"/>
      <c r="B16" s="100"/>
      <c r="C16" s="100"/>
      <c r="D16" s="100"/>
      <c r="E16" s="100"/>
      <c r="F16" s="100"/>
      <c r="G16" s="100"/>
      <c r="H16" s="100"/>
      <c r="I16" s="100"/>
      <c r="J16" s="100"/>
      <c r="K16" s="100"/>
      <c r="L16" s="100"/>
      <c r="M16" s="100"/>
      <c r="P16" s="405"/>
      <c r="Q16" s="405"/>
      <c r="R16" s="405"/>
      <c r="S16" s="405"/>
    </row>
    <row r="17" spans="1:19" ht="13.5" customHeight="1">
      <c r="A17" s="100"/>
      <c r="B17" s="100"/>
      <c r="C17" s="100"/>
      <c r="D17" s="100"/>
      <c r="E17" s="100"/>
      <c r="F17" s="100"/>
      <c r="G17" s="100"/>
      <c r="H17" s="100"/>
      <c r="I17" s="100"/>
      <c r="J17" s="100"/>
      <c r="K17" s="100"/>
      <c r="L17" s="100"/>
      <c r="M17" s="100"/>
      <c r="P17" s="405"/>
      <c r="Q17" s="405"/>
      <c r="R17" s="405"/>
      <c r="S17" s="405"/>
    </row>
    <row r="18" spans="1:19" ht="13.5" customHeight="1">
      <c r="A18" s="100"/>
      <c r="B18" s="100"/>
      <c r="C18" s="100"/>
      <c r="D18" s="100"/>
      <c r="E18" s="100"/>
      <c r="F18" s="100"/>
      <c r="G18" s="100"/>
      <c r="H18" s="100"/>
      <c r="I18" s="100"/>
      <c r="J18" s="100"/>
      <c r="K18" s="100"/>
      <c r="L18" s="100"/>
      <c r="M18" s="100"/>
      <c r="P18" s="405"/>
      <c r="Q18" s="405"/>
      <c r="R18" s="405"/>
      <c r="S18" s="405"/>
    </row>
    <row r="19" spans="1:19" ht="13.5" customHeight="1">
      <c r="A19" s="100"/>
      <c r="B19" s="100"/>
      <c r="C19" s="100"/>
      <c r="D19" s="100"/>
      <c r="E19" s="100"/>
      <c r="F19" s="100"/>
      <c r="G19" s="100"/>
      <c r="H19" s="100"/>
      <c r="I19" s="100"/>
      <c r="J19" s="100"/>
      <c r="K19" s="100"/>
      <c r="L19" s="100"/>
      <c r="M19" s="100"/>
      <c r="P19" s="405"/>
      <c r="Q19" s="405"/>
      <c r="R19" s="405"/>
      <c r="S19" s="405"/>
    </row>
    <row r="20" spans="1:19" ht="13.5" customHeight="1">
      <c r="A20" s="100"/>
      <c r="B20" s="100"/>
      <c r="C20" s="100"/>
      <c r="D20" s="100"/>
      <c r="E20" s="100"/>
      <c r="F20" s="100"/>
      <c r="G20" s="100"/>
      <c r="H20" s="100"/>
      <c r="I20" s="100"/>
      <c r="J20" s="100"/>
      <c r="K20" s="100"/>
      <c r="L20" s="100"/>
      <c r="M20" s="100"/>
      <c r="P20" s="405"/>
      <c r="Q20" s="405"/>
      <c r="R20" s="405"/>
      <c r="S20" s="405"/>
    </row>
    <row r="21" spans="1:19" ht="13.5" customHeight="1">
      <c r="A21" s="100"/>
      <c r="B21" s="100"/>
      <c r="C21" s="100"/>
      <c r="D21" s="100"/>
      <c r="E21" s="100"/>
      <c r="F21" s="100"/>
      <c r="G21" s="100"/>
      <c r="H21" s="100"/>
      <c r="I21" s="100"/>
      <c r="J21" s="100"/>
      <c r="K21" s="100"/>
      <c r="L21" s="100"/>
      <c r="M21" s="100"/>
      <c r="P21" s="405"/>
      <c r="Q21" s="405"/>
      <c r="R21" s="405"/>
      <c r="S21" s="405"/>
    </row>
    <row r="22" spans="1:19" ht="13.5" customHeight="1">
      <c r="A22" s="100"/>
      <c r="B22" s="100"/>
      <c r="C22" s="100"/>
      <c r="D22" s="100"/>
      <c r="E22" s="100"/>
      <c r="F22" s="100"/>
      <c r="G22" s="100"/>
      <c r="H22" s="100"/>
      <c r="I22" s="100"/>
      <c r="J22" s="100"/>
      <c r="K22" s="100"/>
      <c r="L22" s="100"/>
      <c r="M22" s="100"/>
      <c r="P22" s="405"/>
      <c r="Q22" s="405"/>
      <c r="R22" s="405"/>
      <c r="S22" s="405"/>
    </row>
    <row r="23" spans="1:19" ht="13.5" customHeight="1">
      <c r="A23" s="100"/>
      <c r="B23" s="100"/>
      <c r="C23" s="100"/>
      <c r="D23" s="100"/>
      <c r="E23" s="100"/>
      <c r="F23" s="100"/>
      <c r="G23" s="100"/>
      <c r="H23" s="100"/>
      <c r="I23" s="100"/>
      <c r="J23" s="100"/>
      <c r="K23" s="100"/>
      <c r="L23" s="100"/>
      <c r="M23" s="100"/>
      <c r="P23" s="405"/>
      <c r="Q23" s="405"/>
      <c r="R23" s="405"/>
      <c r="S23" s="405"/>
    </row>
    <row r="24" spans="1:19" ht="13.5" customHeight="1">
      <c r="A24" s="100"/>
      <c r="B24" s="100"/>
      <c r="C24" s="100"/>
      <c r="D24" s="100"/>
      <c r="E24" s="100"/>
      <c r="F24" s="100"/>
      <c r="G24" s="100"/>
      <c r="H24" s="100"/>
      <c r="I24" s="100"/>
      <c r="J24" s="100"/>
      <c r="K24" s="100"/>
      <c r="L24" s="100"/>
      <c r="M24" s="100"/>
      <c r="P24" s="405"/>
      <c r="Q24" s="405"/>
      <c r="R24" s="405"/>
      <c r="S24" s="405"/>
    </row>
    <row r="25" spans="1:19" ht="13.5" customHeight="1">
      <c r="A25" s="100"/>
      <c r="B25" s="100"/>
      <c r="C25" s="100"/>
      <c r="D25" s="100"/>
      <c r="E25" s="100"/>
      <c r="F25" s="100"/>
      <c r="G25" s="100"/>
      <c r="H25" s="100"/>
      <c r="I25" s="100"/>
      <c r="J25" s="100"/>
      <c r="K25" s="100"/>
      <c r="L25" s="100"/>
      <c r="M25" s="100"/>
      <c r="P25" s="405"/>
      <c r="Q25" s="405"/>
      <c r="R25" s="405"/>
      <c r="S25" s="405"/>
    </row>
    <row r="26" spans="1:19" ht="13.5" customHeight="1">
      <c r="A26" s="100"/>
      <c r="B26" s="100"/>
      <c r="C26" s="100"/>
      <c r="D26" s="100"/>
      <c r="E26" s="100"/>
      <c r="F26" s="100"/>
      <c r="G26" s="100"/>
      <c r="H26" s="100"/>
      <c r="I26" s="100"/>
      <c r="J26" s="100"/>
      <c r="K26" s="100"/>
      <c r="L26" s="100"/>
      <c r="M26" s="100"/>
      <c r="P26" s="405"/>
      <c r="Q26" s="405"/>
      <c r="R26" s="405"/>
      <c r="S26" s="405"/>
    </row>
    <row r="27" spans="1:19" ht="13.5" customHeight="1">
      <c r="A27" s="100"/>
      <c r="B27" s="100"/>
      <c r="C27" s="100"/>
      <c r="D27" s="100"/>
      <c r="E27" s="100"/>
      <c r="F27" s="100"/>
      <c r="G27" s="100"/>
      <c r="H27" s="100"/>
      <c r="I27" s="100"/>
      <c r="J27" s="100"/>
      <c r="K27" s="100"/>
      <c r="L27" s="100"/>
      <c r="M27" s="100"/>
      <c r="P27" s="405"/>
      <c r="Q27" s="405"/>
      <c r="R27" s="405"/>
      <c r="S27" s="405"/>
    </row>
    <row r="28" spans="1:19" ht="13.5" customHeight="1">
      <c r="A28" s="100"/>
      <c r="B28" s="100"/>
      <c r="C28" s="100"/>
      <c r="D28" s="100"/>
      <c r="E28" s="100"/>
      <c r="F28" s="100"/>
      <c r="G28" s="100"/>
      <c r="H28" s="100"/>
      <c r="I28" s="100"/>
      <c r="J28" s="100"/>
      <c r="K28" s="100"/>
      <c r="L28" s="100"/>
      <c r="M28" s="100"/>
      <c r="P28" s="405"/>
      <c r="Q28" s="405"/>
      <c r="R28" s="405"/>
      <c r="S28" s="405"/>
    </row>
    <row r="29" spans="1:19" ht="13.5" customHeight="1">
      <c r="A29" s="100"/>
      <c r="B29" s="100"/>
      <c r="C29" s="100"/>
      <c r="D29" s="100"/>
      <c r="E29" s="100"/>
      <c r="F29" s="100"/>
      <c r="G29" s="100"/>
      <c r="H29" s="100"/>
      <c r="I29" s="100"/>
      <c r="J29" s="100"/>
      <c r="K29" s="100"/>
      <c r="L29" s="100"/>
      <c r="M29" s="100"/>
      <c r="P29" s="405"/>
      <c r="Q29" s="405"/>
      <c r="R29" s="405"/>
      <c r="S29" s="405"/>
    </row>
    <row r="30" spans="1:19" ht="13.5" customHeight="1">
      <c r="A30" s="100"/>
      <c r="B30" s="100"/>
      <c r="C30" s="100"/>
      <c r="D30" s="100"/>
      <c r="E30" s="100"/>
      <c r="F30" s="100"/>
      <c r="G30" s="100"/>
      <c r="H30" s="100"/>
      <c r="I30" s="100"/>
      <c r="J30" s="100"/>
      <c r="K30" s="100"/>
      <c r="L30" s="100"/>
      <c r="M30" s="100"/>
    </row>
    <row r="31" spans="1:19" ht="13.5" customHeight="1">
      <c r="A31" s="100"/>
      <c r="B31" s="100"/>
      <c r="C31" s="100"/>
      <c r="D31" s="100"/>
      <c r="E31" s="100"/>
      <c r="F31" s="100"/>
      <c r="G31" s="100"/>
      <c r="H31" s="100"/>
      <c r="I31" s="100"/>
      <c r="J31" s="100"/>
      <c r="K31" s="100"/>
      <c r="L31" s="100"/>
      <c r="M31" s="100"/>
    </row>
    <row r="32" spans="1:19" ht="13.5" customHeight="1">
      <c r="A32" s="100"/>
      <c r="B32" s="100"/>
      <c r="C32" s="100"/>
      <c r="D32" s="100"/>
      <c r="E32" s="100"/>
      <c r="F32" s="100"/>
      <c r="G32" s="100"/>
      <c r="H32" s="100"/>
      <c r="I32" s="100"/>
      <c r="J32" s="100"/>
      <c r="K32" s="100"/>
      <c r="L32" s="100"/>
      <c r="M32" s="100"/>
    </row>
    <row r="33" spans="1:13" ht="13.5" customHeight="1">
      <c r="A33" s="100"/>
      <c r="B33" s="100"/>
      <c r="C33" s="100"/>
      <c r="D33" s="100"/>
      <c r="E33" s="100"/>
      <c r="F33" s="100"/>
      <c r="G33" s="100"/>
      <c r="H33" s="100"/>
      <c r="I33" s="100"/>
      <c r="J33" s="100"/>
      <c r="K33" s="100"/>
      <c r="L33" s="100"/>
      <c r="M33" s="100"/>
    </row>
    <row r="34" spans="1:13" ht="13.5" customHeight="1">
      <c r="A34" s="100"/>
      <c r="B34" s="100"/>
      <c r="C34" s="100"/>
      <c r="D34" s="100"/>
      <c r="E34" s="100"/>
      <c r="F34" s="100"/>
      <c r="G34" s="100"/>
      <c r="H34" s="100"/>
      <c r="I34" s="100"/>
      <c r="J34" s="100"/>
      <c r="K34" s="100"/>
      <c r="L34" s="100"/>
      <c r="M34" s="100"/>
    </row>
    <row r="35" spans="1:13" ht="13.5" customHeight="1">
      <c r="A35" s="100"/>
      <c r="B35" s="100"/>
      <c r="C35" s="100"/>
      <c r="D35" s="100"/>
      <c r="E35" s="100"/>
      <c r="F35" s="100"/>
      <c r="G35" s="100"/>
      <c r="H35" s="100"/>
      <c r="I35" s="100"/>
      <c r="J35" s="100"/>
      <c r="K35" s="100"/>
      <c r="L35" s="100"/>
      <c r="M35" s="100"/>
    </row>
    <row r="36" spans="1:13" ht="13.5" customHeight="1">
      <c r="A36" s="100"/>
      <c r="B36" s="100"/>
      <c r="C36" s="100"/>
      <c r="D36" s="100"/>
      <c r="E36" s="100"/>
      <c r="F36" s="100"/>
      <c r="G36" s="100"/>
      <c r="H36" s="100"/>
      <c r="I36" s="100"/>
      <c r="J36" s="100"/>
      <c r="K36" s="100"/>
      <c r="L36" s="100"/>
      <c r="M36" s="100"/>
    </row>
    <row r="37" spans="1:13" ht="13.5" customHeight="1">
      <c r="A37" s="100"/>
      <c r="B37" s="100"/>
      <c r="C37" s="100"/>
      <c r="D37" s="100"/>
      <c r="E37" s="100"/>
      <c r="F37" s="100"/>
      <c r="G37" s="100"/>
      <c r="H37" s="100"/>
      <c r="I37" s="100"/>
      <c r="J37" s="100"/>
      <c r="K37" s="100"/>
      <c r="L37" s="100"/>
      <c r="M37" s="100"/>
    </row>
  </sheetData>
  <mergeCells count="1">
    <mergeCell ref="A3:N3"/>
  </mergeCells>
  <printOptions horizontalCentered="1" verticalCentered="1"/>
  <pageMargins left="0.4" right="0.4" top="0.25" bottom="0.25" header="0.31496062992126" footer="0.31496062992126"/>
  <pageSetup scale="5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18"/>
  <sheetViews>
    <sheetView showGridLines="0" view="pageBreakPreview" zoomScale="55" zoomScaleNormal="100" zoomScaleSheetLayoutView="55" workbookViewId="0">
      <selection activeCell="P40" sqref="P40"/>
    </sheetView>
  </sheetViews>
  <sheetFormatPr baseColWidth="10" defaultColWidth="11.42578125" defaultRowHeight="15"/>
  <cols>
    <col min="1" max="1" width="17.28515625" style="77" customWidth="1"/>
    <col min="2" max="2" width="18.140625" style="77" customWidth="1"/>
    <col min="3" max="3" width="19.42578125" style="77" hidden="1" customWidth="1"/>
    <col min="4" max="6" width="17.7109375" style="77" customWidth="1"/>
    <col min="7" max="7" width="30.28515625" style="77" customWidth="1"/>
    <col min="8" max="8" width="26.5703125" style="77" customWidth="1"/>
    <col min="9" max="9" width="14.5703125" style="77" bestFit="1" customWidth="1"/>
    <col min="10" max="10" width="35" style="77" customWidth="1"/>
    <col min="11" max="11" width="27.140625" style="77" customWidth="1"/>
    <col min="12" max="12" width="33.28515625" style="77" customWidth="1"/>
    <col min="13" max="13" width="16.28515625" style="77" customWidth="1"/>
    <col min="14" max="16384" width="11.42578125" style="77"/>
  </cols>
  <sheetData>
    <row r="1" spans="1:13" ht="87.75" customHeight="1">
      <c r="A1" s="1880"/>
      <c r="B1" s="1880"/>
      <c r="C1" s="1880"/>
      <c r="D1" s="1880"/>
      <c r="E1" s="1880"/>
      <c r="F1" s="1880"/>
      <c r="G1" s="1880"/>
      <c r="H1" s="1880"/>
      <c r="I1" s="1880"/>
      <c r="J1" s="1880"/>
      <c r="K1" s="1880"/>
      <c r="L1" s="1880"/>
      <c r="M1" s="1880"/>
    </row>
    <row r="2" spans="1:13" ht="4.5" customHeight="1"/>
    <row r="3" spans="1:13" ht="25.5" customHeight="1">
      <c r="A3" s="1221"/>
      <c r="B3" s="1981" t="s">
        <v>190</v>
      </c>
      <c r="C3" s="1919"/>
      <c r="D3" s="1919"/>
      <c r="E3" s="1919"/>
      <c r="F3" s="1919"/>
      <c r="G3" s="1919"/>
      <c r="H3" s="1920"/>
    </row>
    <row r="4" spans="1:13" ht="36.75" customHeight="1">
      <c r="A4" s="1222" t="s">
        <v>193</v>
      </c>
      <c r="B4" s="1223" t="s">
        <v>494</v>
      </c>
      <c r="C4" s="1202" t="s">
        <v>495</v>
      </c>
      <c r="D4" s="1202" t="s">
        <v>191</v>
      </c>
      <c r="E4" s="1809" t="s">
        <v>983</v>
      </c>
      <c r="F4" s="1202" t="s">
        <v>208</v>
      </c>
      <c r="G4" s="1202" t="s">
        <v>209</v>
      </c>
      <c r="H4" s="1224" t="s">
        <v>210</v>
      </c>
    </row>
    <row r="5" spans="1:13" ht="18.75">
      <c r="A5" s="1225">
        <v>2003</v>
      </c>
      <c r="B5" s="1227">
        <v>24</v>
      </c>
      <c r="C5" s="1227"/>
      <c r="D5" s="1227">
        <v>3</v>
      </c>
      <c r="E5" s="1227"/>
      <c r="F5" s="1228">
        <f>+D5+B5+E5</f>
        <v>27</v>
      </c>
      <c r="G5" s="1229">
        <f>D5/F5</f>
        <v>0.1111111111111111</v>
      </c>
      <c r="H5" s="1230">
        <f>B5/F5</f>
        <v>0.88888888888888884</v>
      </c>
    </row>
    <row r="6" spans="1:13" ht="18.75">
      <c r="A6" s="1225">
        <v>2004</v>
      </c>
      <c r="B6" s="1227">
        <v>63</v>
      </c>
      <c r="C6" s="1227"/>
      <c r="D6" s="1227">
        <v>2</v>
      </c>
      <c r="E6" s="1227"/>
      <c r="F6" s="1228">
        <f t="shared" ref="F6:F17" si="0">+D6+B6+E6</f>
        <v>65</v>
      </c>
      <c r="G6" s="1229">
        <f>D6/F6</f>
        <v>3.0769230769230771E-2</v>
      </c>
      <c r="H6" s="1230">
        <f>B6/F6</f>
        <v>0.96923076923076923</v>
      </c>
    </row>
    <row r="7" spans="1:13" ht="18.75">
      <c r="A7" s="1225">
        <v>2005</v>
      </c>
      <c r="B7" s="1227">
        <v>181</v>
      </c>
      <c r="C7" s="1227">
        <f>62+110+132+141</f>
        <v>445</v>
      </c>
      <c r="D7" s="1227">
        <v>34</v>
      </c>
      <c r="E7" s="1227"/>
      <c r="F7" s="1228">
        <f t="shared" si="0"/>
        <v>215</v>
      </c>
      <c r="G7" s="1229">
        <f t="shared" ref="G7:G17" si="1">D7/F7</f>
        <v>0.15813953488372093</v>
      </c>
      <c r="H7" s="1230">
        <f t="shared" ref="H7:H17" si="2">B7/F7</f>
        <v>0.8418604651162791</v>
      </c>
    </row>
    <row r="8" spans="1:13" ht="18.75">
      <c r="A8" s="1225">
        <v>2006</v>
      </c>
      <c r="B8" s="1226">
        <v>278</v>
      </c>
      <c r="C8" s="1227">
        <f>151+151+100+283</f>
        <v>685</v>
      </c>
      <c r="D8" s="1227">
        <v>99</v>
      </c>
      <c r="E8" s="1227">
        <v>3</v>
      </c>
      <c r="F8" s="1228">
        <f t="shared" si="0"/>
        <v>380</v>
      </c>
      <c r="G8" s="1229">
        <f t="shared" si="1"/>
        <v>0.26052631578947366</v>
      </c>
      <c r="H8" s="1230">
        <f t="shared" si="2"/>
        <v>0.73157894736842111</v>
      </c>
    </row>
    <row r="9" spans="1:13" ht="18.75">
      <c r="A9" s="1225">
        <v>2007</v>
      </c>
      <c r="B9" s="1226">
        <v>252</v>
      </c>
      <c r="C9" s="1227">
        <f>159+168+203+145</f>
        <v>675</v>
      </c>
      <c r="D9" s="1227">
        <v>154</v>
      </c>
      <c r="E9" s="1227"/>
      <c r="F9" s="1228">
        <f t="shared" si="0"/>
        <v>406</v>
      </c>
      <c r="G9" s="1229">
        <f t="shared" si="1"/>
        <v>0.37931034482758619</v>
      </c>
      <c r="H9" s="1230">
        <f t="shared" si="2"/>
        <v>0.62068965517241381</v>
      </c>
    </row>
    <row r="10" spans="1:13" ht="18.75">
      <c r="A10" s="1225">
        <v>2008</v>
      </c>
      <c r="B10" s="1231">
        <v>362</v>
      </c>
      <c r="C10" s="1227">
        <f>86+97+76+160+87+120+82+114+58+119+70+69</f>
        <v>1138</v>
      </c>
      <c r="D10" s="1232">
        <v>246</v>
      </c>
      <c r="E10" s="1232"/>
      <c r="F10" s="1228">
        <f t="shared" si="0"/>
        <v>608</v>
      </c>
      <c r="G10" s="1229">
        <f t="shared" si="1"/>
        <v>0.40460526315789475</v>
      </c>
      <c r="H10" s="1230">
        <f t="shared" si="2"/>
        <v>0.59539473684210531</v>
      </c>
    </row>
    <row r="11" spans="1:13" ht="18.75">
      <c r="A11" s="1225">
        <v>2009</v>
      </c>
      <c r="B11" s="1231">
        <v>581</v>
      </c>
      <c r="C11" s="1227">
        <f>106+81+55+88+53+78+73+127+144+150+84+117</f>
        <v>1156</v>
      </c>
      <c r="D11" s="1232">
        <v>258</v>
      </c>
      <c r="E11" s="1232">
        <v>1</v>
      </c>
      <c r="F11" s="1228">
        <f t="shared" si="0"/>
        <v>840</v>
      </c>
      <c r="G11" s="1229">
        <f t="shared" si="1"/>
        <v>0.30714285714285716</v>
      </c>
      <c r="H11" s="1230">
        <f t="shared" si="2"/>
        <v>0.69166666666666665</v>
      </c>
    </row>
    <row r="12" spans="1:13" ht="18.75">
      <c r="A12" s="1225">
        <v>2010</v>
      </c>
      <c r="B12" s="1231">
        <v>415</v>
      </c>
      <c r="C12" s="1227">
        <f>79+86+65+99+89+87+139+73+69+78+146+42</f>
        <v>1052</v>
      </c>
      <c r="D12" s="1232">
        <v>255</v>
      </c>
      <c r="E12" s="1232">
        <v>1</v>
      </c>
      <c r="F12" s="1228">
        <f t="shared" si="0"/>
        <v>671</v>
      </c>
      <c r="G12" s="1229">
        <f t="shared" si="1"/>
        <v>0.38002980625931443</v>
      </c>
      <c r="H12" s="1230">
        <f t="shared" si="2"/>
        <v>0.61847988077496274</v>
      </c>
    </row>
    <row r="13" spans="1:13" ht="18.75">
      <c r="A13" s="1225">
        <v>2011</v>
      </c>
      <c r="B13" s="1231">
        <v>506</v>
      </c>
      <c r="C13" s="1227">
        <f>81+70+122+71+72+139+97+144+93+108+178+88</f>
        <v>1263</v>
      </c>
      <c r="D13" s="1232">
        <v>369</v>
      </c>
      <c r="E13" s="1232"/>
      <c r="F13" s="1228">
        <f t="shared" si="0"/>
        <v>875</v>
      </c>
      <c r="G13" s="1229">
        <f t="shared" si="1"/>
        <v>0.42171428571428571</v>
      </c>
      <c r="H13" s="1230">
        <f t="shared" si="2"/>
        <v>0.57828571428571429</v>
      </c>
    </row>
    <row r="14" spans="1:13" ht="18.75">
      <c r="A14" s="1225">
        <v>2012</v>
      </c>
      <c r="B14" s="1231">
        <v>603</v>
      </c>
      <c r="C14" s="1233"/>
      <c r="D14" s="1232">
        <v>628</v>
      </c>
      <c r="E14" s="1232">
        <v>1</v>
      </c>
      <c r="F14" s="1228">
        <f t="shared" si="0"/>
        <v>1232</v>
      </c>
      <c r="G14" s="1229">
        <f t="shared" si="1"/>
        <v>0.50974025974025972</v>
      </c>
      <c r="H14" s="1230">
        <f t="shared" si="2"/>
        <v>0.48944805194805197</v>
      </c>
    </row>
    <row r="15" spans="1:13" ht="18.75">
      <c r="A15" s="1225" t="s">
        <v>573</v>
      </c>
      <c r="B15" s="1231">
        <v>659</v>
      </c>
      <c r="C15" s="1227"/>
      <c r="D15" s="1232">
        <v>1205</v>
      </c>
      <c r="E15" s="1232">
        <v>8</v>
      </c>
      <c r="F15" s="1228">
        <f t="shared" si="0"/>
        <v>1872</v>
      </c>
      <c r="G15" s="1229">
        <f t="shared" si="1"/>
        <v>0.64369658119658124</v>
      </c>
      <c r="H15" s="1230">
        <f t="shared" si="2"/>
        <v>0.35202991452991456</v>
      </c>
    </row>
    <row r="16" spans="1:13" ht="18.75">
      <c r="A16" s="1225" t="s">
        <v>581</v>
      </c>
      <c r="B16" s="1231">
        <v>722</v>
      </c>
      <c r="C16" s="1227">
        <v>11402</v>
      </c>
      <c r="D16" s="1232">
        <v>1005</v>
      </c>
      <c r="E16" s="1232">
        <v>7</v>
      </c>
      <c r="F16" s="1228">
        <f t="shared" si="0"/>
        <v>1734</v>
      </c>
      <c r="G16" s="1229">
        <f t="shared" si="1"/>
        <v>0.57958477508650519</v>
      </c>
      <c r="H16" s="1230">
        <f t="shared" si="2"/>
        <v>0.41637831603229525</v>
      </c>
    </row>
    <row r="17" spans="1:8" ht="18.75">
      <c r="A17" s="1225" t="s">
        <v>968</v>
      </c>
      <c r="B17" s="1231">
        <v>405</v>
      </c>
      <c r="C17" s="1227"/>
      <c r="D17" s="1232">
        <v>341</v>
      </c>
      <c r="E17" s="1232"/>
      <c r="F17" s="1228">
        <f t="shared" si="0"/>
        <v>746</v>
      </c>
      <c r="G17" s="1229">
        <f t="shared" si="1"/>
        <v>0.4571045576407507</v>
      </c>
      <c r="H17" s="1230">
        <f t="shared" si="2"/>
        <v>0.54289544235924936</v>
      </c>
    </row>
    <row r="18" spans="1:8" ht="18.75">
      <c r="A18" s="1234" t="s">
        <v>103</v>
      </c>
      <c r="B18" s="1235">
        <f>SUM(B5:B17)</f>
        <v>5051</v>
      </c>
      <c r="C18" s="1235">
        <f>SUM(C5:C17)</f>
        <v>17816</v>
      </c>
      <c r="D18" s="1235">
        <f>SUM(D5:D17)</f>
        <v>4599</v>
      </c>
      <c r="E18" s="1235">
        <f>SUM(E5:E17)</f>
        <v>21</v>
      </c>
      <c r="F18" s="1235">
        <f>SUM(F5:F17)</f>
        <v>9671</v>
      </c>
      <c r="G18" s="1235"/>
      <c r="H18" s="1236"/>
    </row>
  </sheetData>
  <mergeCells count="2">
    <mergeCell ref="A1:M1"/>
    <mergeCell ref="B3:H3"/>
  </mergeCells>
  <printOptions horizontalCentered="1" verticalCentered="1"/>
  <pageMargins left="0.4" right="0.4" top="0.25" bottom="0.25" header="0.31496062992126" footer="0.31496062992126"/>
  <pageSetup scale="48"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13"/>
  <sheetViews>
    <sheetView showGridLines="0" view="pageBreakPreview" zoomScale="55" zoomScaleNormal="100" zoomScaleSheetLayoutView="55" workbookViewId="0">
      <selection activeCell="F11" sqref="F11"/>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1914"/>
      <c r="B1" s="1914"/>
      <c r="C1" s="1914"/>
      <c r="D1" s="1914"/>
      <c r="E1" s="1914"/>
      <c r="F1" s="1914"/>
      <c r="G1" s="1914"/>
      <c r="H1" s="1914"/>
      <c r="I1" s="1914"/>
      <c r="J1" s="1914"/>
      <c r="K1" s="1914"/>
      <c r="L1" s="1914"/>
      <c r="M1" s="1914"/>
      <c r="N1" s="1914"/>
    </row>
    <row r="2" spans="1:14" ht="14.25" customHeight="1">
      <c r="A2" s="1982"/>
      <c r="B2" s="1982"/>
    </row>
    <row r="3" spans="1:14" ht="22.5" customHeight="1">
      <c r="A3" s="656" t="s">
        <v>498</v>
      </c>
      <c r="B3" s="1089" t="s">
        <v>523</v>
      </c>
      <c r="C3" s="1089" t="s">
        <v>524</v>
      </c>
      <c r="D3" s="445" t="s">
        <v>522</v>
      </c>
    </row>
    <row r="4" spans="1:14" ht="18.75">
      <c r="A4" s="657" t="s">
        <v>101</v>
      </c>
      <c r="B4" s="655">
        <v>4256.84</v>
      </c>
      <c r="C4" s="655">
        <v>9474.51</v>
      </c>
      <c r="D4" s="658">
        <v>7524.26</v>
      </c>
      <c r="F4" s="77"/>
      <c r="G4" s="77"/>
      <c r="H4" s="77"/>
      <c r="I4" s="77"/>
      <c r="J4" s="77"/>
      <c r="K4" s="77"/>
      <c r="L4" s="77"/>
      <c r="M4" s="77"/>
    </row>
    <row r="5" spans="1:14" ht="18.75">
      <c r="A5" s="657" t="s">
        <v>102</v>
      </c>
      <c r="B5" s="655">
        <v>4465.6400000000003</v>
      </c>
      <c r="C5" s="655">
        <v>10515.85</v>
      </c>
      <c r="D5" s="658">
        <v>7760.92</v>
      </c>
      <c r="F5" s="77"/>
      <c r="G5" s="77"/>
      <c r="H5" s="77"/>
      <c r="I5" s="77"/>
      <c r="J5" s="77"/>
      <c r="K5" s="77"/>
      <c r="L5" s="77"/>
      <c r="M5" s="77"/>
    </row>
    <row r="6" spans="1:14" ht="18.75">
      <c r="A6" s="657" t="s">
        <v>92</v>
      </c>
      <c r="B6" s="655">
        <v>3270.67</v>
      </c>
      <c r="C6" s="655">
        <v>6982.6</v>
      </c>
      <c r="D6" s="658">
        <v>5843.29</v>
      </c>
      <c r="F6" s="77"/>
      <c r="G6" s="77"/>
      <c r="H6" s="77"/>
      <c r="I6" s="77"/>
      <c r="J6" s="77"/>
      <c r="K6" s="77"/>
      <c r="L6" s="77"/>
      <c r="M6" s="77"/>
    </row>
    <row r="7" spans="1:14" ht="18.75">
      <c r="A7" s="657" t="s">
        <v>93</v>
      </c>
      <c r="B7" s="655">
        <v>2652.63</v>
      </c>
      <c r="C7" s="655">
        <v>6578.5</v>
      </c>
      <c r="D7" s="658">
        <v>4860.5200000000004</v>
      </c>
      <c r="F7" s="77"/>
      <c r="G7" s="77"/>
      <c r="H7" s="77"/>
      <c r="I7" s="77"/>
      <c r="J7" s="77"/>
      <c r="K7" s="77"/>
      <c r="L7" s="77"/>
      <c r="M7" s="77"/>
    </row>
    <row r="8" spans="1:14" ht="18.75">
      <c r="A8" s="657" t="s">
        <v>94</v>
      </c>
      <c r="B8" s="655">
        <v>4135.34</v>
      </c>
      <c r="C8" s="655">
        <v>8806.44</v>
      </c>
      <c r="D8" s="658">
        <v>7151.73</v>
      </c>
      <c r="F8" s="77"/>
      <c r="G8" s="77"/>
      <c r="H8" s="77"/>
      <c r="I8" s="77"/>
      <c r="J8" s="77"/>
      <c r="K8" s="77"/>
      <c r="L8" s="77"/>
      <c r="M8" s="77"/>
    </row>
    <row r="9" spans="1:14" ht="18.75">
      <c r="A9" s="657" t="s">
        <v>496</v>
      </c>
      <c r="B9" s="655">
        <v>9823.9699999999993</v>
      </c>
      <c r="C9" s="655">
        <v>29796.13</v>
      </c>
      <c r="D9" s="658">
        <v>25257</v>
      </c>
      <c r="F9" s="77"/>
      <c r="G9" s="77"/>
      <c r="H9" s="77"/>
      <c r="I9" s="77"/>
      <c r="J9" s="77"/>
      <c r="K9" s="77"/>
      <c r="L9" s="77"/>
      <c r="M9" s="77"/>
    </row>
    <row r="10" spans="1:14" ht="18.75">
      <c r="A10" s="657" t="s">
        <v>497</v>
      </c>
      <c r="B10" s="655">
        <v>10573.15</v>
      </c>
      <c r="C10" s="655">
        <v>23289.58</v>
      </c>
      <c r="D10" s="658">
        <v>17497.939999999999</v>
      </c>
      <c r="F10" s="77"/>
      <c r="G10" s="77"/>
      <c r="H10" s="77"/>
      <c r="I10" s="77"/>
      <c r="J10" s="77"/>
      <c r="K10" s="77"/>
      <c r="L10" s="77"/>
      <c r="M10" s="77"/>
    </row>
    <row r="11" spans="1:14" ht="15.75" customHeight="1">
      <c r="A11" s="657" t="s">
        <v>945</v>
      </c>
      <c r="B11" s="655">
        <v>5970.66</v>
      </c>
      <c r="C11" s="655">
        <v>15284</v>
      </c>
      <c r="D11" s="658">
        <v>11027.68</v>
      </c>
      <c r="F11" s="77"/>
      <c r="G11" s="77"/>
      <c r="H11" s="77"/>
      <c r="I11" s="77"/>
      <c r="J11" s="77"/>
      <c r="K11" s="77"/>
      <c r="L11" s="77"/>
      <c r="M11" s="77"/>
    </row>
    <row r="12" spans="1:14" s="77" customFormat="1" ht="15.75" customHeight="1">
      <c r="A12" s="1802" t="s">
        <v>23</v>
      </c>
      <c r="B12" s="1804">
        <v>4181.3900000000003</v>
      </c>
      <c r="C12" s="1803">
        <v>9758.41</v>
      </c>
      <c r="D12" s="1803">
        <v>7495.09</v>
      </c>
    </row>
    <row r="13" spans="1:14" ht="18.75">
      <c r="A13" s="659" t="s">
        <v>976</v>
      </c>
      <c r="B13" s="660"/>
      <c r="C13" s="660"/>
      <c r="D13" s="660"/>
      <c r="F13" s="77"/>
      <c r="G13" s="77"/>
      <c r="H13" s="77"/>
      <c r="I13" s="77"/>
      <c r="J13" s="77"/>
      <c r="K13" s="77"/>
      <c r="L13" s="77"/>
      <c r="M13" s="77"/>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Z52"/>
  <sheetViews>
    <sheetView showGridLines="0" view="pageBreakPreview" zoomScaleNormal="85" zoomScaleSheetLayoutView="100" workbookViewId="0">
      <selection activeCell="B12" sqref="B12"/>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1984"/>
      <c r="B1" s="1984"/>
      <c r="C1" s="1984"/>
      <c r="D1" s="1984"/>
      <c r="E1" s="1984"/>
      <c r="F1" s="1984"/>
      <c r="G1" s="1984"/>
      <c r="H1" s="1984"/>
      <c r="I1" s="1984"/>
      <c r="J1" s="241"/>
      <c r="K1" s="241"/>
      <c r="L1" s="1983"/>
      <c r="M1" s="1983"/>
      <c r="N1" s="1983"/>
      <c r="O1" s="1983"/>
      <c r="P1" s="1983"/>
      <c r="Q1" s="1983"/>
    </row>
    <row r="2" spans="1:17" s="77" customFormat="1" ht="15.75" customHeight="1"/>
    <row r="3" spans="1:17">
      <c r="A3" s="848" t="s">
        <v>498</v>
      </c>
      <c r="B3" s="850" t="s">
        <v>192</v>
      </c>
      <c r="C3" s="851" t="s">
        <v>191</v>
      </c>
    </row>
    <row r="4" spans="1:17" ht="15" customHeight="1">
      <c r="A4" s="852" t="s">
        <v>101</v>
      </c>
      <c r="B4" s="1806">
        <v>11697.26</v>
      </c>
      <c r="C4" s="1807">
        <f>+'V.3.3.Pens.Disc. AFP'!D4</f>
        <v>7524.26</v>
      </c>
    </row>
    <row r="5" spans="1:17" ht="15" customHeight="1">
      <c r="A5" s="852" t="s">
        <v>102</v>
      </c>
      <c r="B5" s="1806">
        <v>12178.47</v>
      </c>
      <c r="C5" s="1807">
        <f>+'V.3.3.Pens.Disc. AFP'!D5</f>
        <v>7760.92</v>
      </c>
    </row>
    <row r="6" spans="1:17" ht="14.25" customHeight="1">
      <c r="A6" s="852" t="s">
        <v>92</v>
      </c>
      <c r="B6" s="1806">
        <v>8912.58</v>
      </c>
      <c r="C6" s="1807">
        <f>+'V.3.3.Pens.Disc. AFP'!D6</f>
        <v>5843.29</v>
      </c>
    </row>
    <row r="7" spans="1:17">
      <c r="A7" s="852" t="s">
        <v>93</v>
      </c>
      <c r="B7" s="1806">
        <v>8974.4</v>
      </c>
      <c r="C7" s="1807">
        <f>+'V.3.3.Pens.Disc. AFP'!D7</f>
        <v>4860.5200000000004</v>
      </c>
    </row>
    <row r="8" spans="1:17" ht="12.75" customHeight="1">
      <c r="A8" s="852" t="s">
        <v>94</v>
      </c>
      <c r="B8" s="1806">
        <v>10625.23</v>
      </c>
      <c r="C8" s="1807">
        <f>+'V.3.3.Pens.Disc. AFP'!D8</f>
        <v>7151.73</v>
      </c>
    </row>
    <row r="9" spans="1:17" ht="16.5" customHeight="1">
      <c r="A9" s="852" t="s">
        <v>501</v>
      </c>
      <c r="B9" s="1806">
        <v>27808.65</v>
      </c>
      <c r="C9" s="1807">
        <f>+'V.3.3.Pens.Disc. AFP'!D9</f>
        <v>25257</v>
      </c>
    </row>
    <row r="10" spans="1:17">
      <c r="A10" s="852" t="s">
        <v>500</v>
      </c>
      <c r="B10" s="1806">
        <v>11103.35</v>
      </c>
      <c r="C10" s="1807">
        <f>+'V.3.3.Pens.Disc. AFP'!D10</f>
        <v>17497.939999999999</v>
      </c>
    </row>
    <row r="11" spans="1:17">
      <c r="A11" s="852" t="s">
        <v>499</v>
      </c>
      <c r="B11" s="1806">
        <v>9215.2800000000007</v>
      </c>
      <c r="C11" s="1807">
        <f>+'V.3.3.Pens.Disc. AFP'!D11</f>
        <v>11027.68</v>
      </c>
    </row>
    <row r="12" spans="1:17">
      <c r="A12" s="849" t="s">
        <v>516</v>
      </c>
      <c r="B12" s="1095">
        <v>10740.76</v>
      </c>
      <c r="C12" s="1805">
        <f>+'V.3.3.Pens.Disc. AFP'!D12</f>
        <v>7495.09</v>
      </c>
    </row>
    <row r="13" spans="1:17">
      <c r="A13" s="1237" t="s">
        <v>977</v>
      </c>
      <c r="B13" s="94"/>
    </row>
    <row r="16" spans="1:17" ht="15" customHeight="1"/>
    <row r="17" ht="15" customHeight="1"/>
    <row r="39" spans="1:52" hidden="1">
      <c r="A39" s="77"/>
      <c r="B39" s="77"/>
      <c r="C39" s="77"/>
      <c r="D39" s="77"/>
      <c r="E39" s="77"/>
      <c r="F39" s="77"/>
      <c r="G39" s="77"/>
      <c r="H39" s="77"/>
      <c r="I39" s="77"/>
      <c r="J39" s="77"/>
      <c r="K39" s="77"/>
      <c r="L39" s="77"/>
      <c r="M39" s="77"/>
      <c r="N39" s="77"/>
      <c r="O39" s="77"/>
      <c r="P39" s="238"/>
      <c r="Q39" s="238"/>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row>
    <row r="40" spans="1:52" hidden="1">
      <c r="B40" s="232" t="s">
        <v>519</v>
      </c>
      <c r="C40" s="239" t="s">
        <v>520</v>
      </c>
      <c r="D40" s="232" t="s">
        <v>519</v>
      </c>
      <c r="E40" s="239" t="s">
        <v>520</v>
      </c>
      <c r="F40" s="232" t="s">
        <v>519</v>
      </c>
      <c r="G40" s="239" t="s">
        <v>520</v>
      </c>
      <c r="H40" s="232" t="s">
        <v>519</v>
      </c>
      <c r="I40" s="239" t="s">
        <v>520</v>
      </c>
      <c r="J40" s="232" t="s">
        <v>519</v>
      </c>
      <c r="K40" s="239" t="s">
        <v>520</v>
      </c>
      <c r="L40" s="232" t="s">
        <v>519</v>
      </c>
      <c r="M40" s="239" t="s">
        <v>520</v>
      </c>
      <c r="N40" s="232" t="s">
        <v>519</v>
      </c>
      <c r="O40" s="239" t="s">
        <v>520</v>
      </c>
      <c r="P40" s="232" t="s">
        <v>519</v>
      </c>
      <c r="Q40" s="239" t="s">
        <v>520</v>
      </c>
      <c r="R40" s="232" t="s">
        <v>519</v>
      </c>
      <c r="S40" s="239" t="s">
        <v>520</v>
      </c>
      <c r="T40" s="232" t="s">
        <v>519</v>
      </c>
      <c r="U40" s="239" t="s">
        <v>520</v>
      </c>
      <c r="V40" s="232" t="s">
        <v>519</v>
      </c>
      <c r="W40" s="239" t="s">
        <v>520</v>
      </c>
      <c r="X40" s="232" t="s">
        <v>519</v>
      </c>
      <c r="Y40" s="239" t="s">
        <v>520</v>
      </c>
      <c r="Z40" s="232" t="s">
        <v>519</v>
      </c>
      <c r="AA40" s="239" t="s">
        <v>520</v>
      </c>
      <c r="AB40" s="232" t="s">
        <v>519</v>
      </c>
      <c r="AC40" s="239" t="s">
        <v>520</v>
      </c>
      <c r="AD40" s="232" t="s">
        <v>519</v>
      </c>
      <c r="AE40" s="239" t="s">
        <v>520</v>
      </c>
      <c r="AF40" s="232" t="s">
        <v>519</v>
      </c>
      <c r="AG40" s="239" t="s">
        <v>520</v>
      </c>
      <c r="AH40" s="232" t="s">
        <v>519</v>
      </c>
      <c r="AI40" s="239" t="s">
        <v>520</v>
      </c>
      <c r="AJ40" s="232" t="s">
        <v>519</v>
      </c>
      <c r="AK40" s="239" t="s">
        <v>520</v>
      </c>
      <c r="AL40" s="232" t="s">
        <v>519</v>
      </c>
      <c r="AM40" s="239" t="s">
        <v>520</v>
      </c>
      <c r="AN40" s="232" t="s">
        <v>519</v>
      </c>
      <c r="AO40" s="239" t="s">
        <v>520</v>
      </c>
      <c r="AP40" s="232" t="s">
        <v>519</v>
      </c>
      <c r="AQ40" s="239" t="s">
        <v>520</v>
      </c>
      <c r="AR40" s="232" t="s">
        <v>519</v>
      </c>
      <c r="AS40" s="239" t="s">
        <v>520</v>
      </c>
      <c r="AT40" s="232" t="s">
        <v>519</v>
      </c>
      <c r="AU40" s="239" t="s">
        <v>520</v>
      </c>
      <c r="AV40" s="232" t="s">
        <v>519</v>
      </c>
      <c r="AW40" s="239" t="s">
        <v>520</v>
      </c>
      <c r="AX40" s="232" t="s">
        <v>519</v>
      </c>
      <c r="AY40" s="239" t="s">
        <v>520</v>
      </c>
    </row>
    <row r="41" spans="1:52" hidden="1">
      <c r="A41" s="233" t="s">
        <v>498</v>
      </c>
      <c r="B41" s="232" t="s">
        <v>513</v>
      </c>
      <c r="C41" s="239" t="s">
        <v>513</v>
      </c>
      <c r="D41" s="232" t="s">
        <v>514</v>
      </c>
      <c r="E41" s="239" t="s">
        <v>514</v>
      </c>
      <c r="F41" s="232" t="s">
        <v>515</v>
      </c>
      <c r="G41" s="239" t="s">
        <v>515</v>
      </c>
      <c r="H41" s="232" t="s">
        <v>510</v>
      </c>
      <c r="I41" s="239" t="s">
        <v>510</v>
      </c>
      <c r="J41" s="232" t="s">
        <v>511</v>
      </c>
      <c r="K41" s="239" t="s">
        <v>511</v>
      </c>
      <c r="L41" s="232" t="s">
        <v>512</v>
      </c>
      <c r="M41" s="239" t="s">
        <v>512</v>
      </c>
      <c r="N41" s="232" t="s">
        <v>502</v>
      </c>
      <c r="O41" s="239" t="s">
        <v>502</v>
      </c>
      <c r="P41" s="235" t="s">
        <v>521</v>
      </c>
      <c r="Q41" s="239" t="s">
        <v>521</v>
      </c>
      <c r="R41" s="235" t="s">
        <v>503</v>
      </c>
      <c r="S41" s="239" t="s">
        <v>503</v>
      </c>
      <c r="T41" s="235" t="s">
        <v>486</v>
      </c>
      <c r="U41" s="239" t="s">
        <v>486</v>
      </c>
      <c r="V41" s="235" t="s">
        <v>504</v>
      </c>
      <c r="W41" s="239" t="s">
        <v>504</v>
      </c>
      <c r="X41" s="235" t="s">
        <v>505</v>
      </c>
      <c r="Y41" s="239" t="s">
        <v>505</v>
      </c>
      <c r="Z41" s="235" t="s">
        <v>434</v>
      </c>
      <c r="AA41" s="239" t="s">
        <v>434</v>
      </c>
      <c r="AB41" s="232" t="s">
        <v>506</v>
      </c>
      <c r="AC41" s="239" t="s">
        <v>506</v>
      </c>
      <c r="AD41" s="232" t="s">
        <v>517</v>
      </c>
      <c r="AE41" s="239" t="s">
        <v>517</v>
      </c>
      <c r="AF41" s="232" t="s">
        <v>508</v>
      </c>
      <c r="AG41" s="239" t="s">
        <v>508</v>
      </c>
      <c r="AH41" s="232" t="s">
        <v>435</v>
      </c>
      <c r="AI41" s="239" t="s">
        <v>435</v>
      </c>
      <c r="AJ41" s="232" t="s">
        <v>509</v>
      </c>
      <c r="AK41" s="239" t="s">
        <v>509</v>
      </c>
      <c r="AL41" s="232" t="s">
        <v>518</v>
      </c>
      <c r="AM41" s="239" t="s">
        <v>518</v>
      </c>
      <c r="AN41" s="232" t="s">
        <v>507</v>
      </c>
      <c r="AO41" s="239" t="s">
        <v>507</v>
      </c>
      <c r="AP41" s="232" t="s">
        <v>436</v>
      </c>
      <c r="AQ41" s="239" t="s">
        <v>436</v>
      </c>
      <c r="AR41" s="232" t="s">
        <v>433</v>
      </c>
      <c r="AS41" s="240" t="s">
        <v>433</v>
      </c>
      <c r="AT41" s="232" t="s">
        <v>471</v>
      </c>
      <c r="AU41" s="240" t="s">
        <v>471</v>
      </c>
      <c r="AV41" s="232" t="s">
        <v>472</v>
      </c>
      <c r="AW41" s="239" t="s">
        <v>472</v>
      </c>
      <c r="AX41" s="232" t="s">
        <v>487</v>
      </c>
      <c r="AY41" s="239" t="s">
        <v>487</v>
      </c>
    </row>
    <row r="42" spans="1:52" hidden="1">
      <c r="A42" s="236" t="s">
        <v>101</v>
      </c>
      <c r="B42" s="219"/>
      <c r="C42" s="219"/>
      <c r="D42" s="219"/>
      <c r="E42" s="219"/>
      <c r="F42" s="219"/>
      <c r="G42" s="219"/>
      <c r="H42" s="219"/>
      <c r="I42" s="219"/>
      <c r="J42" s="219"/>
      <c r="K42" s="219"/>
      <c r="L42" s="219"/>
      <c r="M42" s="219"/>
      <c r="N42" s="231"/>
      <c r="O42" s="231"/>
      <c r="P42" s="231"/>
      <c r="Q42" s="231"/>
      <c r="R42" s="231"/>
      <c r="S42" s="231"/>
      <c r="T42" s="231">
        <v>6862.09</v>
      </c>
      <c r="U42" s="231">
        <v>5466.02</v>
      </c>
      <c r="V42" s="231">
        <v>7008.29</v>
      </c>
      <c r="W42" s="231">
        <v>5228.53</v>
      </c>
      <c r="X42" s="231">
        <v>7052.01</v>
      </c>
      <c r="Y42" s="231">
        <v>5918.51</v>
      </c>
      <c r="Z42" s="231">
        <v>7363.3</v>
      </c>
      <c r="AA42" s="231">
        <v>5926.22</v>
      </c>
      <c r="AB42" s="231">
        <v>7444.78</v>
      </c>
      <c r="AC42" s="231">
        <v>6170.85</v>
      </c>
      <c r="AD42" s="231">
        <v>8016.05</v>
      </c>
      <c r="AE42" s="231">
        <v>6120.58</v>
      </c>
      <c r="AF42" s="231">
        <v>8107.44</v>
      </c>
      <c r="AG42" s="231">
        <v>6146.74</v>
      </c>
      <c r="AH42" s="231">
        <v>8273.11</v>
      </c>
      <c r="AI42" s="231">
        <v>6132.23</v>
      </c>
      <c r="AJ42" s="231">
        <v>8396.0499999999993</v>
      </c>
      <c r="AK42" s="231">
        <v>6292.33</v>
      </c>
      <c r="AL42" s="231">
        <v>8397.69</v>
      </c>
      <c r="AM42" s="231">
        <v>6201.63</v>
      </c>
      <c r="AN42" s="231">
        <v>8536.24</v>
      </c>
      <c r="AO42" s="231">
        <v>6198.55</v>
      </c>
      <c r="AP42" s="231">
        <v>8794.74</v>
      </c>
      <c r="AQ42" s="231">
        <v>6403.89</v>
      </c>
      <c r="AR42" s="231">
        <v>9041.9</v>
      </c>
      <c r="AS42" s="231">
        <v>6414.86</v>
      </c>
      <c r="AT42" s="231">
        <v>9043.19</v>
      </c>
      <c r="AU42" s="231">
        <v>6608.88</v>
      </c>
      <c r="AV42" s="231">
        <v>9175.3654368737461</v>
      </c>
      <c r="AW42" s="231">
        <v>6669.75</v>
      </c>
      <c r="AX42" s="231">
        <v>9235.15</v>
      </c>
      <c r="AY42" s="231">
        <v>6406.86</v>
      </c>
    </row>
    <row r="43" spans="1:52" hidden="1">
      <c r="A43" s="236" t="s">
        <v>102</v>
      </c>
      <c r="B43" s="219"/>
      <c r="C43" s="219"/>
      <c r="D43" s="219"/>
      <c r="E43" s="219"/>
      <c r="F43" s="219"/>
      <c r="G43" s="219"/>
      <c r="H43" s="219"/>
      <c r="I43" s="219"/>
      <c r="J43" s="219"/>
      <c r="K43" s="219"/>
      <c r="L43" s="219"/>
      <c r="M43" s="219"/>
      <c r="N43" s="231"/>
      <c r="O43" s="231"/>
      <c r="P43" s="231"/>
      <c r="Q43" s="231"/>
      <c r="R43" s="231"/>
      <c r="S43" s="231"/>
      <c r="T43" s="231">
        <v>7929.91</v>
      </c>
      <c r="U43" s="231">
        <v>8646.26</v>
      </c>
      <c r="V43" s="231">
        <v>7950.08</v>
      </c>
      <c r="W43" s="231">
        <v>8620.76</v>
      </c>
      <c r="X43" s="231">
        <v>8356.56</v>
      </c>
      <c r="Y43" s="231">
        <v>8685.5</v>
      </c>
      <c r="Z43" s="231">
        <v>7387.96</v>
      </c>
      <c r="AA43" s="231">
        <v>8934.6200000000008</v>
      </c>
      <c r="AB43" s="231">
        <v>7167.07</v>
      </c>
      <c r="AC43" s="231">
        <v>8801.31</v>
      </c>
      <c r="AD43" s="231">
        <v>7605.92</v>
      </c>
      <c r="AE43" s="231">
        <v>8570.25</v>
      </c>
      <c r="AF43" s="231">
        <v>7932.06</v>
      </c>
      <c r="AG43" s="231">
        <v>7801.78</v>
      </c>
      <c r="AH43" s="231">
        <v>7954.11</v>
      </c>
      <c r="AI43" s="231">
        <v>8209.52</v>
      </c>
      <c r="AJ43" s="231">
        <v>8082.35</v>
      </c>
      <c r="AK43" s="231">
        <v>7899.34</v>
      </c>
      <c r="AL43" s="231">
        <v>8597.8700000000008</v>
      </c>
      <c r="AM43" s="231">
        <v>7804.42</v>
      </c>
      <c r="AN43" s="231">
        <v>8651.5499999999993</v>
      </c>
      <c r="AO43" s="231">
        <v>7878.08</v>
      </c>
      <c r="AP43" s="231">
        <v>9077.81</v>
      </c>
      <c r="AQ43" s="231">
        <v>7627.54</v>
      </c>
      <c r="AR43" s="231">
        <v>9163.0499999999993</v>
      </c>
      <c r="AS43" s="231">
        <v>7088.11</v>
      </c>
      <c r="AT43" s="231">
        <v>9184.4599999999991</v>
      </c>
      <c r="AU43" s="231">
        <v>6909.23</v>
      </c>
      <c r="AV43" s="231">
        <v>9212.4380608695701</v>
      </c>
      <c r="AW43" s="231">
        <v>6792.19</v>
      </c>
      <c r="AX43" s="231">
        <v>9340.68</v>
      </c>
      <c r="AY43" s="231">
        <v>6846.92</v>
      </c>
    </row>
    <row r="44" spans="1:52" hidden="1">
      <c r="A44" s="236" t="s">
        <v>92</v>
      </c>
      <c r="B44" s="219"/>
      <c r="C44" s="219"/>
      <c r="D44" s="219"/>
      <c r="E44" s="219"/>
      <c r="F44" s="219"/>
      <c r="G44" s="219"/>
      <c r="H44" s="219"/>
      <c r="I44" s="219"/>
      <c r="J44" s="219"/>
      <c r="K44" s="219"/>
      <c r="L44" s="219"/>
      <c r="M44" s="219"/>
      <c r="N44" s="231"/>
      <c r="O44" s="231"/>
      <c r="P44" s="231"/>
      <c r="Q44" s="231"/>
      <c r="R44" s="231"/>
      <c r="S44" s="231"/>
      <c r="T44" s="231">
        <v>5859.75</v>
      </c>
      <c r="U44" s="231">
        <v>3835.19</v>
      </c>
      <c r="V44" s="231">
        <v>5772.78</v>
      </c>
      <c r="W44" s="231">
        <v>3708.91</v>
      </c>
      <c r="X44" s="231">
        <v>5637.4</v>
      </c>
      <c r="Y44" s="231">
        <v>3907.57</v>
      </c>
      <c r="Z44" s="231">
        <v>5637.4</v>
      </c>
      <c r="AA44" s="231">
        <v>3924.68</v>
      </c>
      <c r="AB44" s="231">
        <v>5621.6</v>
      </c>
      <c r="AC44" s="231">
        <v>3924.68</v>
      </c>
      <c r="AD44" s="231">
        <v>5924.07</v>
      </c>
      <c r="AE44" s="231">
        <v>4047.55</v>
      </c>
      <c r="AF44" s="231">
        <v>5948.37</v>
      </c>
      <c r="AG44" s="231">
        <v>4047.55</v>
      </c>
      <c r="AH44" s="231">
        <v>5880.94</v>
      </c>
      <c r="AI44" s="231">
        <v>4135.4399999999996</v>
      </c>
      <c r="AJ44" s="231">
        <v>5799.6</v>
      </c>
      <c r="AK44" s="231">
        <v>4156.57</v>
      </c>
      <c r="AL44" s="231">
        <v>5757.81</v>
      </c>
      <c r="AM44" s="231">
        <v>4156.57</v>
      </c>
      <c r="AN44" s="231">
        <v>5750.14</v>
      </c>
      <c r="AO44" s="231">
        <v>4156.57</v>
      </c>
      <c r="AP44" s="231">
        <v>5747.2</v>
      </c>
      <c r="AQ44" s="231">
        <v>4259.95</v>
      </c>
      <c r="AR44" s="231">
        <v>5751.11</v>
      </c>
      <c r="AS44" s="231">
        <v>4250.91</v>
      </c>
      <c r="AT44" s="231">
        <v>5751.11</v>
      </c>
      <c r="AU44" s="231">
        <v>4219.03</v>
      </c>
      <c r="AV44" s="231">
        <v>5792.1264186046501</v>
      </c>
      <c r="AW44" s="231">
        <v>4391.16</v>
      </c>
      <c r="AX44" s="231">
        <v>5947.33</v>
      </c>
      <c r="AY44" s="231">
        <v>4233.6099999999997</v>
      </c>
    </row>
    <row r="45" spans="1:52" hidden="1">
      <c r="A45" s="236" t="s">
        <v>93</v>
      </c>
      <c r="B45" s="219"/>
      <c r="C45" s="219"/>
      <c r="D45" s="219"/>
      <c r="E45" s="219"/>
      <c r="F45" s="219"/>
      <c r="G45" s="219"/>
      <c r="H45" s="219"/>
      <c r="I45" s="219"/>
      <c r="J45" s="219"/>
      <c r="K45" s="219"/>
      <c r="L45" s="219"/>
      <c r="M45" s="219"/>
      <c r="N45" s="231"/>
      <c r="O45" s="231"/>
      <c r="P45" s="231"/>
      <c r="Q45" s="231"/>
      <c r="R45" s="231"/>
      <c r="S45" s="231"/>
      <c r="T45" s="231">
        <v>5442.78</v>
      </c>
      <c r="U45" s="231">
        <v>4647.8999999999996</v>
      </c>
      <c r="V45" s="231">
        <v>5543.16</v>
      </c>
      <c r="W45" s="231">
        <v>4678.74</v>
      </c>
      <c r="X45" s="231">
        <v>5851.72</v>
      </c>
      <c r="Y45" s="231">
        <v>4601.21</v>
      </c>
      <c r="Z45" s="231">
        <v>6156.5</v>
      </c>
      <c r="AA45" s="231">
        <v>4762.3599999999997</v>
      </c>
      <c r="AB45" s="231">
        <v>6277.06</v>
      </c>
      <c r="AC45" s="231">
        <v>4771.51</v>
      </c>
      <c r="AD45" s="231">
        <v>6616.3</v>
      </c>
      <c r="AE45" s="231">
        <v>4848.12</v>
      </c>
      <c r="AF45" s="231">
        <v>6903.37</v>
      </c>
      <c r="AG45" s="231">
        <v>4657.3999999999996</v>
      </c>
      <c r="AH45" s="231">
        <v>6947.49</v>
      </c>
      <c r="AI45" s="231">
        <v>4735.88</v>
      </c>
      <c r="AJ45" s="231">
        <v>7000.61</v>
      </c>
      <c r="AK45" s="231">
        <v>4647.45</v>
      </c>
      <c r="AL45" s="231">
        <v>6898.94</v>
      </c>
      <c r="AM45" s="231">
        <v>4870.25</v>
      </c>
      <c r="AN45" s="231">
        <v>7103.36</v>
      </c>
      <c r="AO45" s="231">
        <v>4741.6499999999996</v>
      </c>
      <c r="AP45" s="231">
        <v>7241.35</v>
      </c>
      <c r="AQ45" s="231">
        <v>4923.1499999999996</v>
      </c>
      <c r="AR45" s="231">
        <v>7199.1</v>
      </c>
      <c r="AS45" s="231">
        <v>5048.2</v>
      </c>
      <c r="AT45" s="231">
        <v>7225</v>
      </c>
      <c r="AU45" s="231">
        <v>4876.26</v>
      </c>
      <c r="AV45" s="231">
        <v>7286.1333393316263</v>
      </c>
      <c r="AW45" s="231">
        <v>4573.1499999999996</v>
      </c>
      <c r="AX45" s="231">
        <v>7343.02</v>
      </c>
      <c r="AY45" s="231">
        <v>4591.4799999999996</v>
      </c>
    </row>
    <row r="46" spans="1:52" hidden="1">
      <c r="A46" s="236" t="s">
        <v>94</v>
      </c>
      <c r="B46" s="219"/>
      <c r="C46" s="219"/>
      <c r="D46" s="219"/>
      <c r="E46" s="219"/>
      <c r="F46" s="219"/>
      <c r="G46" s="219"/>
      <c r="H46" s="219"/>
      <c r="I46" s="219"/>
      <c r="J46" s="219"/>
      <c r="K46" s="219"/>
      <c r="L46" s="219"/>
      <c r="M46" s="219"/>
      <c r="N46" s="231"/>
      <c r="O46" s="231"/>
      <c r="P46" s="231"/>
      <c r="Q46" s="231"/>
      <c r="R46" s="231"/>
      <c r="S46" s="231"/>
      <c r="T46" s="231">
        <v>7737.92</v>
      </c>
      <c r="U46" s="231">
        <v>4975.3599999999997</v>
      </c>
      <c r="V46" s="231">
        <v>7556.01</v>
      </c>
      <c r="W46" s="231">
        <v>4839.3900000000003</v>
      </c>
      <c r="X46" s="231">
        <v>8023.03</v>
      </c>
      <c r="Y46" s="231">
        <v>4857.47</v>
      </c>
      <c r="Z46" s="231">
        <v>8162.58</v>
      </c>
      <c r="AA46" s="231">
        <v>4880.67</v>
      </c>
      <c r="AB46" s="231">
        <v>8215.75</v>
      </c>
      <c r="AC46" s="231">
        <v>4789.3999999999996</v>
      </c>
      <c r="AD46" s="231">
        <v>8479.8700000000008</v>
      </c>
      <c r="AE46" s="231">
        <v>5053.18</v>
      </c>
      <c r="AF46" s="231">
        <v>8604.0400000000009</v>
      </c>
      <c r="AG46" s="231">
        <v>5474.87</v>
      </c>
      <c r="AH46" s="231">
        <v>8546.8799999999992</v>
      </c>
      <c r="AI46" s="231">
        <v>5886.59</v>
      </c>
      <c r="AJ46" s="231">
        <v>8956.7800000000007</v>
      </c>
      <c r="AK46" s="231">
        <v>6393.64</v>
      </c>
      <c r="AL46" s="231">
        <v>8870.9</v>
      </c>
      <c r="AM46" s="231">
        <v>6275.25</v>
      </c>
      <c r="AN46" s="231">
        <v>8875.48</v>
      </c>
      <c r="AO46" s="231">
        <v>6178.67</v>
      </c>
      <c r="AP46" s="231">
        <v>8828.32</v>
      </c>
      <c r="AQ46" s="231">
        <v>6680.66</v>
      </c>
      <c r="AR46" s="231">
        <v>9012.27</v>
      </c>
      <c r="AS46" s="231">
        <v>6702.19</v>
      </c>
      <c r="AT46" s="231">
        <v>9064.69</v>
      </c>
      <c r="AU46" s="231">
        <v>6849.44</v>
      </c>
      <c r="AV46" s="231">
        <v>9110.6958030384922</v>
      </c>
      <c r="AW46" s="231">
        <v>7083</v>
      </c>
      <c r="AX46" s="231">
        <v>8980.09</v>
      </c>
      <c r="AY46" s="231">
        <v>6899.91</v>
      </c>
    </row>
    <row r="47" spans="1:52" hidden="1">
      <c r="A47" s="236" t="s">
        <v>501</v>
      </c>
      <c r="B47" s="219"/>
      <c r="C47" s="219"/>
      <c r="D47" s="219"/>
      <c r="E47" s="219"/>
      <c r="F47" s="219"/>
      <c r="G47" s="219"/>
      <c r="H47" s="219"/>
      <c r="I47" s="219"/>
      <c r="J47" s="219"/>
      <c r="K47" s="219"/>
      <c r="L47" s="219"/>
      <c r="M47" s="219"/>
      <c r="N47" s="231"/>
      <c r="O47" s="231"/>
      <c r="P47" s="231"/>
      <c r="Q47" s="231"/>
      <c r="R47" s="231"/>
      <c r="S47" s="231"/>
      <c r="T47" s="231">
        <v>11769.89</v>
      </c>
      <c r="U47" s="231">
        <v>16056.01</v>
      </c>
      <c r="V47" s="231">
        <v>11769.89</v>
      </c>
      <c r="W47" s="231">
        <v>16056.01</v>
      </c>
      <c r="X47" s="231">
        <v>11769.89</v>
      </c>
      <c r="Y47" s="231">
        <v>15831.22</v>
      </c>
      <c r="Z47" s="231">
        <v>11769.89</v>
      </c>
      <c r="AA47" s="231">
        <v>15831.22</v>
      </c>
      <c r="AB47" s="231">
        <v>11769.89</v>
      </c>
      <c r="AC47" s="231">
        <v>15831.22</v>
      </c>
      <c r="AD47" s="231">
        <v>11769.89</v>
      </c>
      <c r="AE47" s="231">
        <v>15523.18</v>
      </c>
      <c r="AF47" s="231">
        <v>11769.89</v>
      </c>
      <c r="AG47" s="231">
        <v>14890.42</v>
      </c>
      <c r="AH47" s="231">
        <v>11769.89</v>
      </c>
      <c r="AI47" s="231">
        <v>15887.88</v>
      </c>
      <c r="AJ47" s="231">
        <v>11769.89</v>
      </c>
      <c r="AK47" s="231">
        <v>15924.06</v>
      </c>
      <c r="AL47" s="231">
        <v>11769.89</v>
      </c>
      <c r="AM47" s="231">
        <v>15636.54</v>
      </c>
      <c r="AN47" s="231">
        <v>11769.89</v>
      </c>
      <c r="AO47" s="231">
        <v>15636.54</v>
      </c>
      <c r="AP47" s="231">
        <v>11769.89</v>
      </c>
      <c r="AQ47" s="231">
        <v>15636.54</v>
      </c>
      <c r="AR47" s="231">
        <v>11769.89</v>
      </c>
      <c r="AS47" s="231">
        <v>15163.84</v>
      </c>
      <c r="AT47" s="231">
        <v>11769.89</v>
      </c>
      <c r="AU47" s="231">
        <v>15164</v>
      </c>
      <c r="AV47" s="231">
        <v>11769.886500000001</v>
      </c>
      <c r="AW47" s="231">
        <v>15909.84</v>
      </c>
      <c r="AX47" s="231">
        <v>11769.89</v>
      </c>
      <c r="AY47" s="231">
        <v>17050.05</v>
      </c>
    </row>
    <row r="48" spans="1:52" hidden="1">
      <c r="A48" s="236" t="s">
        <v>500</v>
      </c>
      <c r="B48" s="219"/>
      <c r="C48" s="219"/>
      <c r="D48" s="219"/>
      <c r="E48" s="219"/>
      <c r="F48" s="219"/>
      <c r="G48" s="219"/>
      <c r="H48" s="219"/>
      <c r="I48" s="219"/>
      <c r="J48" s="219"/>
      <c r="K48" s="219"/>
      <c r="L48" s="219"/>
      <c r="M48" s="219"/>
      <c r="N48" s="231"/>
      <c r="O48" s="231"/>
      <c r="P48" s="231"/>
      <c r="Q48" s="231"/>
      <c r="R48" s="231"/>
      <c r="S48" s="231"/>
      <c r="T48" s="231">
        <v>7560.59</v>
      </c>
      <c r="U48" s="231">
        <v>12398.75</v>
      </c>
      <c r="V48" s="231">
        <v>7560.59</v>
      </c>
      <c r="W48" s="231">
        <v>12393.77</v>
      </c>
      <c r="X48" s="231">
        <v>7560.59</v>
      </c>
      <c r="Y48" s="231">
        <v>12213.89</v>
      </c>
      <c r="Z48" s="231">
        <v>7560.59</v>
      </c>
      <c r="AA48" s="231">
        <v>11828.81</v>
      </c>
      <c r="AB48" s="231">
        <v>7560.59</v>
      </c>
      <c r="AC48" s="231">
        <v>11894.8</v>
      </c>
      <c r="AD48" s="231">
        <v>7700.59</v>
      </c>
      <c r="AE48" s="231">
        <v>12010.3</v>
      </c>
      <c r="AF48" s="231">
        <v>7700.59</v>
      </c>
      <c r="AG48" s="231">
        <v>12010.3</v>
      </c>
      <c r="AH48" s="231">
        <v>7700.59</v>
      </c>
      <c r="AI48" s="231">
        <v>12463.26</v>
      </c>
      <c r="AJ48" s="231">
        <v>7754.88</v>
      </c>
      <c r="AK48" s="231">
        <v>12780.97</v>
      </c>
      <c r="AL48" s="231">
        <v>7754.88</v>
      </c>
      <c r="AM48" s="231">
        <v>13378.29</v>
      </c>
      <c r="AN48" s="231">
        <v>7754.88</v>
      </c>
      <c r="AO48" s="231">
        <v>13629.1</v>
      </c>
      <c r="AP48" s="231">
        <v>7754.88</v>
      </c>
      <c r="AQ48" s="231">
        <v>13753.57</v>
      </c>
      <c r="AR48" s="231">
        <v>7754.88</v>
      </c>
      <c r="AS48" s="231">
        <v>13753.57</v>
      </c>
      <c r="AT48" s="231">
        <v>7754.88</v>
      </c>
      <c r="AU48" s="231">
        <v>13774.79</v>
      </c>
      <c r="AV48" s="231">
        <v>7754.8792499999981</v>
      </c>
      <c r="AW48" s="231">
        <v>14384.28</v>
      </c>
      <c r="AX48" s="231">
        <v>7754.88</v>
      </c>
      <c r="AY48" s="231">
        <v>13455</v>
      </c>
      <c r="AZ48" s="77"/>
    </row>
    <row r="49" spans="1:52" hidden="1">
      <c r="A49" s="236" t="s">
        <v>499</v>
      </c>
      <c r="B49" s="219"/>
      <c r="C49" s="219"/>
      <c r="D49" s="219"/>
      <c r="E49" s="219"/>
      <c r="F49" s="219"/>
      <c r="G49" s="219"/>
      <c r="H49" s="219"/>
      <c r="I49" s="219"/>
      <c r="J49" s="219"/>
      <c r="K49" s="219"/>
      <c r="L49" s="219"/>
      <c r="M49" s="219"/>
      <c r="N49" s="231"/>
      <c r="O49" s="231"/>
      <c r="P49" s="231"/>
      <c r="Q49" s="231"/>
      <c r="R49" s="231"/>
      <c r="S49" s="231"/>
      <c r="T49" s="231">
        <v>0</v>
      </c>
      <c r="U49" s="231">
        <v>0</v>
      </c>
      <c r="V49" s="231">
        <v>0</v>
      </c>
      <c r="W49" s="231">
        <v>0</v>
      </c>
      <c r="X49" s="231">
        <v>6522.62</v>
      </c>
      <c r="Y49" s="231">
        <v>9328.01</v>
      </c>
      <c r="Z49" s="231">
        <v>6653.12</v>
      </c>
      <c r="AA49" s="231">
        <v>9328.01</v>
      </c>
      <c r="AB49" s="231">
        <v>9215.2800000000007</v>
      </c>
      <c r="AC49" s="231">
        <v>9328.01</v>
      </c>
      <c r="AD49" s="231">
        <v>9215.2800000000007</v>
      </c>
      <c r="AE49" s="231">
        <v>9328.01</v>
      </c>
      <c r="AF49" s="231">
        <v>9215.2800000000007</v>
      </c>
      <c r="AG49" s="231">
        <v>9328.01</v>
      </c>
      <c r="AH49" s="231">
        <v>9215.2800000000007</v>
      </c>
      <c r="AI49" s="231">
        <v>9323.01</v>
      </c>
      <c r="AJ49" s="231">
        <v>9215.2800000000007</v>
      </c>
      <c r="AK49" s="231">
        <v>9328.01</v>
      </c>
      <c r="AL49" s="231">
        <v>9215.2800000000007</v>
      </c>
      <c r="AM49" s="231">
        <v>9328.01</v>
      </c>
      <c r="AN49" s="231">
        <v>9215.2800000000007</v>
      </c>
      <c r="AO49" s="231">
        <v>9328.01</v>
      </c>
      <c r="AP49" s="231">
        <v>9215.2800000000007</v>
      </c>
      <c r="AQ49" s="231">
        <v>9328.01</v>
      </c>
      <c r="AR49" s="231">
        <v>9215.2800000000007</v>
      </c>
      <c r="AS49" s="231">
        <v>9328.01</v>
      </c>
      <c r="AT49" s="231">
        <v>9215.2800000000007</v>
      </c>
      <c r="AU49" s="231">
        <v>9328.01</v>
      </c>
      <c r="AV49" s="231">
        <v>9215.2796732026145</v>
      </c>
      <c r="AW49" s="231">
        <v>9328.01</v>
      </c>
      <c r="AX49" s="231">
        <v>9215.2800000000007</v>
      </c>
      <c r="AY49" s="231">
        <v>9328.01</v>
      </c>
      <c r="AZ49" s="77"/>
    </row>
    <row r="50" spans="1:52" hidden="1">
      <c r="A50" s="237" t="s">
        <v>516</v>
      </c>
      <c r="B50" s="237"/>
      <c r="C50" s="234"/>
      <c r="D50" s="234"/>
      <c r="E50" s="234"/>
      <c r="F50" s="234"/>
      <c r="G50" s="234"/>
      <c r="H50" s="234"/>
      <c r="I50" s="234"/>
      <c r="J50" s="234"/>
      <c r="K50" s="234"/>
      <c r="L50" s="234"/>
      <c r="M50" s="234"/>
      <c r="N50" s="234"/>
      <c r="O50" s="234"/>
      <c r="P50" s="234"/>
      <c r="Q50" s="234"/>
      <c r="R50" s="234"/>
      <c r="S50" s="234"/>
      <c r="T50" s="234">
        <v>6772.71</v>
      </c>
      <c r="U50" s="234">
        <v>6221.8</v>
      </c>
      <c r="V50" s="234">
        <v>6809.68</v>
      </c>
      <c r="W50" s="234">
        <v>6102.92</v>
      </c>
      <c r="X50" s="234">
        <v>6986.6</v>
      </c>
      <c r="Y50" s="234">
        <v>6348.14</v>
      </c>
      <c r="Z50" s="234">
        <v>6912.11</v>
      </c>
      <c r="AA50" s="234">
        <v>6449.89</v>
      </c>
      <c r="AB50" s="234">
        <v>7152.46</v>
      </c>
      <c r="AC50" s="234">
        <v>6517.75</v>
      </c>
      <c r="AD50" s="234">
        <v>7716.41</v>
      </c>
      <c r="AE50" s="234">
        <v>6523.25</v>
      </c>
      <c r="AF50" s="234">
        <v>7872.32</v>
      </c>
      <c r="AG50" s="234">
        <v>6456.67</v>
      </c>
      <c r="AH50" s="234">
        <v>7915.13</v>
      </c>
      <c r="AI50" s="234">
        <v>6616.09</v>
      </c>
      <c r="AJ50" s="234">
        <v>9051.5</v>
      </c>
      <c r="AK50" s="234">
        <v>6748.78</v>
      </c>
      <c r="AL50" s="234">
        <v>8072.43</v>
      </c>
      <c r="AM50" s="234">
        <v>6713.99</v>
      </c>
      <c r="AN50" s="234">
        <v>8172.25</v>
      </c>
      <c r="AO50" s="234">
        <v>6648.35</v>
      </c>
      <c r="AP50" s="234">
        <v>8337.76</v>
      </c>
      <c r="AQ50" s="234">
        <v>6795.41</v>
      </c>
      <c r="AR50" s="234">
        <v>8459.01</v>
      </c>
      <c r="AS50" s="234">
        <v>6714.26</v>
      </c>
      <c r="AT50" s="234">
        <v>8485.99</v>
      </c>
      <c r="AU50" s="234">
        <v>6751.74</v>
      </c>
      <c r="AV50" s="234">
        <v>8564.9457267858488</v>
      </c>
      <c r="AW50" s="234">
        <v>6680.37</v>
      </c>
      <c r="AX50" s="234">
        <v>8594.56</v>
      </c>
      <c r="AY50" s="234">
        <v>6539.13</v>
      </c>
      <c r="AZ50" s="77"/>
    </row>
    <row r="51" spans="1:52" hidden="1">
      <c r="AK51" s="77"/>
      <c r="AV51" s="77"/>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85" zoomScaleNormal="100" zoomScaleSheetLayoutView="85" workbookViewId="0">
      <selection activeCell="N18" sqref="N18"/>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N4:Q56"/>
  <sheetViews>
    <sheetView showGridLines="0" view="pageBreakPreview" topLeftCell="A7" zoomScale="70" zoomScaleNormal="85" zoomScaleSheetLayoutView="70" workbookViewId="0">
      <selection activeCell="P18" sqref="P18"/>
    </sheetView>
  </sheetViews>
  <sheetFormatPr baseColWidth="10" defaultColWidth="11.42578125" defaultRowHeight="15"/>
  <cols>
    <col min="1" max="6" width="11.42578125" style="77"/>
    <col min="7" max="7" width="9.42578125" style="77" customWidth="1"/>
    <col min="8" max="17" width="11.42578125" style="77"/>
    <col min="18" max="18" width="17.85546875" style="77" customWidth="1"/>
    <col min="19" max="16384" width="11.42578125" style="77"/>
  </cols>
  <sheetData>
    <row r="4" ht="15.75" customHeight="1"/>
    <row r="17" spans="15:16">
      <c r="P17" s="165"/>
    </row>
    <row r="18" spans="15:16">
      <c r="P18" s="165"/>
    </row>
    <row r="19" spans="15:16">
      <c r="P19" s="165"/>
    </row>
    <row r="20" spans="15:16">
      <c r="P20" s="165"/>
    </row>
    <row r="21" spans="15:16">
      <c r="P21" s="165"/>
    </row>
    <row r="22" spans="15:16">
      <c r="P22" s="165"/>
    </row>
    <row r="23" spans="15:16">
      <c r="O23" s="284"/>
      <c r="P23" s="165"/>
    </row>
    <row r="24" spans="15:16">
      <c r="P24" s="165"/>
    </row>
    <row r="25" spans="15:16" ht="43.5" customHeight="1"/>
    <row r="32" spans="15:16">
      <c r="O32" s="182"/>
    </row>
    <row r="33" spans="14:17">
      <c r="Q33" s="182"/>
    </row>
    <row r="35" spans="14:17">
      <c r="O35" s="284"/>
    </row>
    <row r="36" spans="14:17">
      <c r="Q36" s="182"/>
    </row>
    <row r="40" spans="14:17">
      <c r="P40" s="165"/>
    </row>
    <row r="41" spans="14:17">
      <c r="P41" s="165"/>
    </row>
    <row r="42" spans="14:17">
      <c r="N42" s="245"/>
      <c r="O42" s="284"/>
    </row>
    <row r="49" spans="15:16">
      <c r="P49" s="284"/>
    </row>
    <row r="50" spans="15:16">
      <c r="P50" s="284"/>
    </row>
    <row r="56" spans="15:16">
      <c r="O56" s="284"/>
    </row>
  </sheetData>
  <pageMargins left="0.7" right="0.7" top="0.75" bottom="0.75" header="0.3" footer="0.3"/>
  <pageSetup scale="75"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L50"/>
  <sheetViews>
    <sheetView showGridLines="0" view="pageBreakPreview" zoomScale="70" zoomScaleNormal="100" zoomScaleSheetLayoutView="70" workbookViewId="0">
      <selection activeCell="H10" sqref="H10"/>
    </sheetView>
  </sheetViews>
  <sheetFormatPr baseColWidth="10" defaultColWidth="11.42578125" defaultRowHeight="15"/>
  <cols>
    <col min="1" max="1" width="13.28515625" style="39" customWidth="1"/>
    <col min="2" max="2" width="14.140625" style="39" customWidth="1"/>
    <col min="3" max="3" width="15.5703125" style="39" customWidth="1"/>
    <col min="4" max="4" width="13.85546875" style="39" customWidth="1"/>
    <col min="5" max="5" width="15.5703125" style="39" customWidth="1"/>
    <col min="6" max="6" width="18.5703125" style="39" customWidth="1"/>
    <col min="7" max="7" width="18.28515625" style="39" customWidth="1"/>
    <col min="8" max="8" width="32.85546875" style="39" customWidth="1"/>
    <col min="9" max="9" width="22.85546875" style="39" customWidth="1"/>
    <col min="10" max="10" width="19.28515625" style="39" customWidth="1"/>
    <col min="11" max="11" width="3.7109375" style="39" customWidth="1"/>
    <col min="12" max="16384" width="11.42578125" style="39"/>
  </cols>
  <sheetData>
    <row r="1" spans="1:12" s="77" customFormat="1" ht="66" customHeight="1">
      <c r="A1" s="1882"/>
      <c r="B1" s="1882"/>
      <c r="C1" s="1882"/>
      <c r="D1" s="1882"/>
      <c r="E1" s="1882"/>
      <c r="F1" s="1882"/>
      <c r="G1" s="1882"/>
      <c r="H1" s="1882"/>
      <c r="I1" s="1882"/>
      <c r="J1" s="1882"/>
    </row>
    <row r="2" spans="1:12" s="77" customFormat="1" ht="3" customHeight="1"/>
    <row r="3" spans="1:12" s="77" customFormat="1" ht="37.5" customHeight="1">
      <c r="A3" s="756" t="s">
        <v>260</v>
      </c>
      <c r="B3" s="772" t="s">
        <v>419</v>
      </c>
      <c r="C3" s="772" t="s">
        <v>259</v>
      </c>
      <c r="D3" s="756" t="s">
        <v>140</v>
      </c>
      <c r="E3" s="772" t="s">
        <v>258</v>
      </c>
      <c r="F3" s="773" t="s">
        <v>424</v>
      </c>
    </row>
    <row r="4" spans="1:12" s="77" customFormat="1" ht="15.75">
      <c r="A4" s="775">
        <v>2005</v>
      </c>
      <c r="B4" s="711">
        <v>3719</v>
      </c>
      <c r="C4" s="711">
        <v>12</v>
      </c>
      <c r="D4" s="1336">
        <f t="shared" ref="D4:D14" si="0">+C4+B4</f>
        <v>3731</v>
      </c>
      <c r="E4" s="770">
        <f t="shared" ref="E4:E14" si="1">B4/D4</f>
        <v>0.99678370410077732</v>
      </c>
      <c r="F4" s="771">
        <f t="shared" ref="F4:F10" si="2">C4/D4</f>
        <v>3.2162958992227285E-3</v>
      </c>
      <c r="L4" s="182"/>
    </row>
    <row r="5" spans="1:12" s="77" customFormat="1" ht="15.75">
      <c r="A5" s="774">
        <v>2006</v>
      </c>
      <c r="B5" s="711">
        <v>5483</v>
      </c>
      <c r="C5" s="711">
        <v>52</v>
      </c>
      <c r="D5" s="1336">
        <f t="shared" si="0"/>
        <v>5535</v>
      </c>
      <c r="E5" s="770">
        <f t="shared" si="1"/>
        <v>0.9906052393857272</v>
      </c>
      <c r="F5" s="771">
        <f t="shared" si="2"/>
        <v>9.39476061427281E-3</v>
      </c>
      <c r="L5" s="182"/>
    </row>
    <row r="6" spans="1:12" s="77" customFormat="1" ht="15.75">
      <c r="A6" s="775">
        <v>2007</v>
      </c>
      <c r="B6" s="711">
        <v>8459</v>
      </c>
      <c r="C6" s="711">
        <v>85</v>
      </c>
      <c r="D6" s="1336">
        <f t="shared" si="0"/>
        <v>8544</v>
      </c>
      <c r="E6" s="770">
        <f t="shared" si="1"/>
        <v>0.99005149812734083</v>
      </c>
      <c r="F6" s="771">
        <f t="shared" si="2"/>
        <v>9.948501872659176E-3</v>
      </c>
      <c r="L6" s="182"/>
    </row>
    <row r="7" spans="1:12" s="77" customFormat="1" ht="15.75">
      <c r="A7" s="774">
        <v>2008</v>
      </c>
      <c r="B7" s="711">
        <v>10873</v>
      </c>
      <c r="C7" s="711">
        <v>104</v>
      </c>
      <c r="D7" s="1336">
        <f t="shared" si="0"/>
        <v>10977</v>
      </c>
      <c r="E7" s="770">
        <f t="shared" si="1"/>
        <v>0.99052564452947067</v>
      </c>
      <c r="F7" s="771">
        <f t="shared" si="2"/>
        <v>9.4743554705292877E-3</v>
      </c>
      <c r="L7" s="182"/>
    </row>
    <row r="8" spans="1:12" s="77" customFormat="1" ht="15.75">
      <c r="A8" s="775">
        <v>2009</v>
      </c>
      <c r="B8" s="711">
        <v>14386</v>
      </c>
      <c r="C8" s="711">
        <v>297</v>
      </c>
      <c r="D8" s="1336">
        <f t="shared" si="0"/>
        <v>14683</v>
      </c>
      <c r="E8" s="770">
        <f t="shared" si="1"/>
        <v>0.97977252605053466</v>
      </c>
      <c r="F8" s="771">
        <f t="shared" si="2"/>
        <v>2.0227473949465367E-2</v>
      </c>
      <c r="L8" s="182"/>
    </row>
    <row r="9" spans="1:12" s="77" customFormat="1" ht="15.75">
      <c r="A9" s="774">
        <v>2010</v>
      </c>
      <c r="B9" s="711">
        <v>17051</v>
      </c>
      <c r="C9" s="711">
        <v>405</v>
      </c>
      <c r="D9" s="1336">
        <f t="shared" si="0"/>
        <v>17456</v>
      </c>
      <c r="E9" s="770">
        <f t="shared" si="1"/>
        <v>0.97679880843263056</v>
      </c>
      <c r="F9" s="771">
        <f t="shared" si="2"/>
        <v>2.3201191567369387E-2</v>
      </c>
      <c r="L9" s="182"/>
    </row>
    <row r="10" spans="1:12" s="77" customFormat="1" ht="15.75">
      <c r="A10" s="774">
        <v>2011</v>
      </c>
      <c r="B10" s="711">
        <v>22120</v>
      </c>
      <c r="C10" s="711">
        <v>477</v>
      </c>
      <c r="D10" s="1336">
        <f t="shared" si="0"/>
        <v>22597</v>
      </c>
      <c r="E10" s="770">
        <f t="shared" si="1"/>
        <v>0.97889100323051736</v>
      </c>
      <c r="F10" s="771">
        <f t="shared" si="2"/>
        <v>2.1108996769482673E-2</v>
      </c>
      <c r="L10" s="182"/>
    </row>
    <row r="11" spans="1:12" s="77" customFormat="1" ht="14.25" customHeight="1">
      <c r="A11" s="774" t="s">
        <v>485</v>
      </c>
      <c r="B11" s="711">
        <v>26233</v>
      </c>
      <c r="C11" s="711">
        <v>455</v>
      </c>
      <c r="D11" s="1336">
        <f t="shared" si="0"/>
        <v>26688</v>
      </c>
      <c r="E11" s="770">
        <f t="shared" si="1"/>
        <v>0.982951139088729</v>
      </c>
      <c r="F11" s="771">
        <f>C11/D11</f>
        <v>1.7048860911270985E-2</v>
      </c>
      <c r="L11" s="182"/>
    </row>
    <row r="12" spans="1:12" s="77" customFormat="1" ht="14.25" customHeight="1">
      <c r="A12" s="774" t="s">
        <v>573</v>
      </c>
      <c r="B12" s="711">
        <v>28246</v>
      </c>
      <c r="C12" s="711">
        <v>389</v>
      </c>
      <c r="D12" s="1336">
        <f t="shared" si="0"/>
        <v>28635</v>
      </c>
      <c r="E12" s="770">
        <f t="shared" si="1"/>
        <v>0.98641522612187882</v>
      </c>
      <c r="F12" s="771">
        <f>C12/D12</f>
        <v>1.358477387812118E-2</v>
      </c>
      <c r="L12" s="182"/>
    </row>
    <row r="13" spans="1:12" s="77" customFormat="1" ht="14.25" customHeight="1">
      <c r="A13" s="774" t="s">
        <v>581</v>
      </c>
      <c r="B13" s="711">
        <v>30630</v>
      </c>
      <c r="C13" s="711">
        <v>402</v>
      </c>
      <c r="D13" s="1336">
        <f t="shared" si="0"/>
        <v>31032</v>
      </c>
      <c r="E13" s="770">
        <f t="shared" si="1"/>
        <v>0.98704563031709203</v>
      </c>
      <c r="F13" s="771">
        <f>C13/D13</f>
        <v>1.2954369682907967E-2</v>
      </c>
      <c r="L13" s="182"/>
    </row>
    <row r="14" spans="1:12" s="77" customFormat="1" ht="14.25" customHeight="1">
      <c r="A14" s="774" t="s">
        <v>971</v>
      </c>
      <c r="B14" s="711">
        <v>16322</v>
      </c>
      <c r="C14" s="711">
        <v>237</v>
      </c>
      <c r="D14" s="1336">
        <f t="shared" si="0"/>
        <v>16559</v>
      </c>
      <c r="E14" s="770">
        <f t="shared" si="1"/>
        <v>0.98568754151820759</v>
      </c>
      <c r="F14" s="771">
        <f>C14/D14</f>
        <v>1.4312458481792379E-2</v>
      </c>
      <c r="L14" s="182"/>
    </row>
    <row r="15" spans="1:12" s="77" customFormat="1" ht="15.75">
      <c r="A15" s="769" t="s">
        <v>23</v>
      </c>
      <c r="B15" s="776">
        <f>SUM(B4:B14)</f>
        <v>183522</v>
      </c>
      <c r="C15" s="776">
        <f>SUM(C4:C14)</f>
        <v>2915</v>
      </c>
      <c r="D15" s="1337">
        <f>SUM(D4:D14)</f>
        <v>186437</v>
      </c>
      <c r="E15" s="777">
        <f>AVERAGE(E4:E11)</f>
        <v>0.9857974453682159</v>
      </c>
      <c r="F15" s="778">
        <f>AVERAGE(F4:F11)</f>
        <v>1.4202554631784051E-2</v>
      </c>
      <c r="K15" s="23"/>
    </row>
    <row r="16" spans="1:12" s="77" customFormat="1">
      <c r="K16" s="39"/>
    </row>
    <row r="17" spans="11:12" s="77" customFormat="1">
      <c r="K17" s="39"/>
    </row>
    <row r="18" spans="11:12" s="77" customFormat="1">
      <c r="K18" s="23"/>
    </row>
    <row r="19" spans="11:12" s="77" customFormat="1">
      <c r="K19" s="23"/>
    </row>
    <row r="20" spans="11:12" s="77" customFormat="1">
      <c r="K20" s="23"/>
      <c r="L20" s="77" t="s">
        <v>180</v>
      </c>
    </row>
    <row r="21" spans="11:12" s="77" customFormat="1">
      <c r="K21" s="23"/>
    </row>
    <row r="22" spans="11:12" s="77" customFormat="1">
      <c r="K22" s="23"/>
    </row>
    <row r="23" spans="11:12" s="77" customFormat="1">
      <c r="K23" s="23"/>
    </row>
    <row r="24" spans="11:12" s="77" customFormat="1">
      <c r="K24" s="23"/>
    </row>
    <row r="25" spans="11:12" s="77" customFormat="1">
      <c r="K25" s="23"/>
    </row>
    <row r="26" spans="11:12" s="77" customFormat="1">
      <c r="K26" s="23"/>
    </row>
    <row r="27" spans="11:12" s="77" customFormat="1">
      <c r="K27" s="23"/>
    </row>
    <row r="28" spans="11:12" s="77" customFormat="1">
      <c r="K28" s="23"/>
    </row>
    <row r="29" spans="11:12" s="77" customFormat="1">
      <c r="K29" s="23"/>
    </row>
    <row r="30" spans="11:12" s="77" customFormat="1">
      <c r="K30" s="23"/>
    </row>
    <row r="31" spans="11:12" s="77" customFormat="1">
      <c r="K31" s="23"/>
    </row>
    <row r="32" spans="11:12" s="77" customFormat="1">
      <c r="K32" s="23"/>
    </row>
    <row r="33" spans="11:11" s="77" customFormat="1">
      <c r="K33" s="23"/>
    </row>
    <row r="34" spans="11:11" s="77" customFormat="1">
      <c r="K34" s="23"/>
    </row>
    <row r="35" spans="11:11" s="77" customFormat="1">
      <c r="K35" s="23"/>
    </row>
    <row r="36" spans="11:11" s="77" customFormat="1"/>
    <row r="37" spans="11:11" s="77" customFormat="1"/>
    <row r="38" spans="11:11" s="77" customFormat="1"/>
    <row r="39" spans="11:11" s="77" customFormat="1"/>
    <row r="40" spans="11:11" s="77" customFormat="1"/>
    <row r="41" spans="11:11" s="77" customFormat="1"/>
    <row r="42" spans="11:11" s="77" customFormat="1"/>
    <row r="43" spans="11:11" s="77" customFormat="1"/>
    <row r="44" spans="11:11" s="77" customFormat="1"/>
    <row r="45" spans="11:11" s="77" customFormat="1"/>
    <row r="46" spans="11:11" s="77" customFormat="1"/>
    <row r="47" spans="11:11" s="77" customFormat="1"/>
    <row r="48" spans="11:11" s="77" customFormat="1"/>
    <row r="49" s="77" customFormat="1"/>
    <row r="50" s="77" customFormat="1"/>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T46"/>
  <sheetViews>
    <sheetView showGridLines="0" view="pageBreakPreview" zoomScale="70" zoomScaleNormal="100" zoomScaleSheetLayoutView="70" workbookViewId="0">
      <pane ySplit="1" topLeftCell="A3" activePane="bottomLeft" state="frozen"/>
      <selection activeCell="M22" sqref="M22"/>
      <selection pane="bottomLeft" activeCell="U32" sqref="U32"/>
    </sheetView>
  </sheetViews>
  <sheetFormatPr baseColWidth="10" defaultColWidth="11.42578125" defaultRowHeight="15"/>
  <cols>
    <col min="1" max="1" width="15.7109375" style="39" customWidth="1"/>
    <col min="2" max="2" width="10.28515625" style="39" customWidth="1"/>
    <col min="3" max="3" width="9.42578125" style="39" customWidth="1"/>
    <col min="4" max="4" width="10.85546875" style="39" customWidth="1"/>
    <col min="5" max="5" width="8.85546875" style="39" customWidth="1"/>
    <col min="6" max="6" width="8.7109375" style="39" customWidth="1"/>
    <col min="7" max="7" width="9.28515625" style="39" customWidth="1"/>
    <col min="8" max="8" width="8.28515625" style="39" customWidth="1"/>
    <col min="9" max="9" width="10.42578125" style="39" customWidth="1"/>
    <col min="10" max="10" width="9.7109375" style="39" customWidth="1"/>
    <col min="11" max="11" width="11.140625" style="39" customWidth="1"/>
    <col min="12" max="13" width="10.42578125" style="39" customWidth="1"/>
    <col min="14" max="14" width="10.7109375" style="39" customWidth="1"/>
    <col min="15" max="15" width="10.42578125" style="39" customWidth="1"/>
    <col min="16" max="16" width="10.7109375" style="39" customWidth="1"/>
    <col min="17" max="18" width="10.28515625" style="39" customWidth="1"/>
    <col min="19" max="19" width="10.140625" style="39" customWidth="1"/>
    <col min="20" max="20" width="10.28515625" style="39" customWidth="1"/>
    <col min="21" max="16384" width="11.42578125" style="39"/>
  </cols>
  <sheetData>
    <row r="1" spans="1:20" s="77" customFormat="1" ht="68.25" customHeight="1">
      <c r="A1" s="1882"/>
      <c r="B1" s="1882"/>
      <c r="C1" s="1882"/>
      <c r="D1" s="1882"/>
      <c r="E1" s="1882"/>
      <c r="F1" s="1882"/>
      <c r="G1" s="1882"/>
      <c r="H1" s="1882"/>
      <c r="I1" s="1882"/>
      <c r="J1" s="1882"/>
      <c r="K1" s="1882"/>
      <c r="L1" s="1882"/>
      <c r="M1" s="1882"/>
      <c r="N1" s="1882"/>
      <c r="O1" s="1882"/>
      <c r="P1" s="1882"/>
      <c r="Q1" s="1882"/>
      <c r="R1" s="1882"/>
      <c r="S1" s="1882"/>
      <c r="T1" s="1882"/>
    </row>
    <row r="2" spans="1:20" s="77" customFormat="1" ht="3.75" customHeight="1">
      <c r="A2" s="1985"/>
      <c r="B2" s="1985"/>
      <c r="C2" s="1985"/>
      <c r="D2" s="1985"/>
      <c r="E2" s="1985"/>
      <c r="F2" s="1985"/>
      <c r="G2" s="1985"/>
      <c r="H2" s="1985"/>
      <c r="I2" s="1985"/>
      <c r="J2" s="1985"/>
      <c r="K2" s="1985"/>
      <c r="L2" s="1985"/>
      <c r="M2" s="1985"/>
      <c r="N2" s="1985"/>
      <c r="O2" s="1985"/>
      <c r="P2" s="1985"/>
      <c r="Q2" s="1985"/>
      <c r="R2" s="1985"/>
      <c r="S2" s="1985"/>
      <c r="T2" s="1986"/>
    </row>
    <row r="3" spans="1:20" s="141" customFormat="1" ht="31.5">
      <c r="A3" s="762" t="s">
        <v>260</v>
      </c>
      <c r="B3" s="614" t="s">
        <v>284</v>
      </c>
      <c r="C3" s="614" t="s">
        <v>283</v>
      </c>
      <c r="D3" s="614" t="s">
        <v>282</v>
      </c>
      <c r="E3" s="614" t="s">
        <v>281</v>
      </c>
      <c r="F3" s="614" t="s">
        <v>280</v>
      </c>
      <c r="G3" s="614" t="s">
        <v>279</v>
      </c>
      <c r="H3" s="614" t="s">
        <v>278</v>
      </c>
      <c r="I3" s="614" t="s">
        <v>277</v>
      </c>
      <c r="J3" s="614" t="s">
        <v>276</v>
      </c>
      <c r="K3" s="1276" t="s">
        <v>275</v>
      </c>
      <c r="L3" s="614" t="s">
        <v>274</v>
      </c>
      <c r="M3" s="614" t="s">
        <v>273</v>
      </c>
      <c r="N3" s="614" t="s">
        <v>272</v>
      </c>
      <c r="O3" s="614" t="s">
        <v>271</v>
      </c>
      <c r="P3" s="614" t="s">
        <v>270</v>
      </c>
      <c r="Q3" s="614" t="s">
        <v>269</v>
      </c>
      <c r="R3" s="614" t="s">
        <v>268</v>
      </c>
      <c r="S3" s="614" t="s">
        <v>267</v>
      </c>
      <c r="T3" s="615" t="s">
        <v>266</v>
      </c>
    </row>
    <row r="4" spans="1:20" s="77" customFormat="1" ht="15.75">
      <c r="A4" s="631">
        <v>2005</v>
      </c>
      <c r="B4" s="713">
        <v>3726</v>
      </c>
      <c r="C4" s="713">
        <v>1</v>
      </c>
      <c r="D4" s="713">
        <v>1</v>
      </c>
      <c r="E4" s="713">
        <v>0</v>
      </c>
      <c r="F4" s="713">
        <v>1</v>
      </c>
      <c r="G4" s="713">
        <v>2</v>
      </c>
      <c r="H4" s="713">
        <v>0</v>
      </c>
      <c r="I4" s="713">
        <v>0</v>
      </c>
      <c r="J4" s="713">
        <v>0</v>
      </c>
      <c r="K4" s="1277">
        <f t="shared" ref="K4:K10" si="0">SUM(B4:J4)</f>
        <v>3731</v>
      </c>
      <c r="L4" s="767">
        <f t="shared" ref="L4:L10" si="1">B4/K4</f>
        <v>0.99865987670865719</v>
      </c>
      <c r="M4" s="767">
        <f t="shared" ref="M4:M15" si="2">C4/K4</f>
        <v>2.6802465826856071E-4</v>
      </c>
      <c r="N4" s="767">
        <f t="shared" ref="N4:N15" si="3">D4/K4</f>
        <v>2.6802465826856071E-4</v>
      </c>
      <c r="O4" s="767">
        <f t="shared" ref="O4:O15" si="4">E4/K4</f>
        <v>0</v>
      </c>
      <c r="P4" s="767">
        <f t="shared" ref="P4:P15" si="5">F4/K4</f>
        <v>2.6802465826856071E-4</v>
      </c>
      <c r="Q4" s="767">
        <f t="shared" ref="Q4:Q15" si="6">G4/K4</f>
        <v>5.3604931653712141E-4</v>
      </c>
      <c r="R4" s="767">
        <f t="shared" ref="R4:R15" si="7">H4/K4</f>
        <v>0</v>
      </c>
      <c r="S4" s="767">
        <f t="shared" ref="S4:S15" si="8">I4/K4</f>
        <v>0</v>
      </c>
      <c r="T4" s="768">
        <f t="shared" ref="T4:T15" si="9">J4/K4</f>
        <v>0</v>
      </c>
    </row>
    <row r="5" spans="1:20" s="77" customFormat="1" ht="15.75">
      <c r="A5" s="763">
        <v>2006</v>
      </c>
      <c r="B5" s="713">
        <v>5469</v>
      </c>
      <c r="C5" s="713">
        <v>10</v>
      </c>
      <c r="D5" s="713">
        <v>17</v>
      </c>
      <c r="E5" s="713">
        <v>2</v>
      </c>
      <c r="F5" s="713">
        <v>1</v>
      </c>
      <c r="G5" s="713">
        <v>23</v>
      </c>
      <c r="H5" s="713">
        <v>5</v>
      </c>
      <c r="I5" s="713">
        <v>8</v>
      </c>
      <c r="J5" s="713">
        <v>0</v>
      </c>
      <c r="K5" s="1277">
        <f t="shared" si="0"/>
        <v>5535</v>
      </c>
      <c r="L5" s="767">
        <f t="shared" si="1"/>
        <v>0.98807588075880759</v>
      </c>
      <c r="M5" s="767">
        <f t="shared" si="2"/>
        <v>1.8066847335140017E-3</v>
      </c>
      <c r="N5" s="767">
        <f t="shared" si="3"/>
        <v>3.0713640469738029E-3</v>
      </c>
      <c r="O5" s="767">
        <f t="shared" si="4"/>
        <v>3.6133694670280038E-4</v>
      </c>
      <c r="P5" s="767">
        <f t="shared" si="5"/>
        <v>1.8066847335140019E-4</v>
      </c>
      <c r="Q5" s="767">
        <f t="shared" si="6"/>
        <v>4.1553748870822044E-3</v>
      </c>
      <c r="R5" s="767">
        <f t="shared" si="7"/>
        <v>9.0334236675700087E-4</v>
      </c>
      <c r="S5" s="767">
        <f t="shared" si="8"/>
        <v>1.4453477868112015E-3</v>
      </c>
      <c r="T5" s="768">
        <f t="shared" si="9"/>
        <v>0</v>
      </c>
    </row>
    <row r="6" spans="1:20" s="77" customFormat="1" ht="15.75">
      <c r="A6" s="631">
        <v>2007</v>
      </c>
      <c r="B6" s="713">
        <v>5248</v>
      </c>
      <c r="C6" s="713">
        <v>259</v>
      </c>
      <c r="D6" s="713">
        <v>1131</v>
      </c>
      <c r="E6" s="713">
        <v>112</v>
      </c>
      <c r="F6" s="713">
        <v>54</v>
      </c>
      <c r="G6" s="713">
        <v>1402</v>
      </c>
      <c r="H6" s="713">
        <v>67</v>
      </c>
      <c r="I6" s="713">
        <v>271</v>
      </c>
      <c r="J6" s="713">
        <v>0</v>
      </c>
      <c r="K6" s="1277">
        <f t="shared" si="0"/>
        <v>8544</v>
      </c>
      <c r="L6" s="767">
        <f t="shared" si="1"/>
        <v>0.61423220973782766</v>
      </c>
      <c r="M6" s="767">
        <f t="shared" si="2"/>
        <v>3.031367041198502E-2</v>
      </c>
      <c r="N6" s="767">
        <f t="shared" si="3"/>
        <v>0.13237359550561797</v>
      </c>
      <c r="O6" s="767">
        <f t="shared" si="4"/>
        <v>1.3108614232209739E-2</v>
      </c>
      <c r="P6" s="767">
        <f t="shared" si="5"/>
        <v>6.3202247191011234E-3</v>
      </c>
      <c r="Q6" s="767">
        <f t="shared" si="6"/>
        <v>0.16409176029962547</v>
      </c>
      <c r="R6" s="767">
        <f t="shared" si="7"/>
        <v>7.8417602996254682E-3</v>
      </c>
      <c r="S6" s="767">
        <f t="shared" si="8"/>
        <v>3.1718164794007492E-2</v>
      </c>
      <c r="T6" s="768">
        <f t="shared" si="9"/>
        <v>0</v>
      </c>
    </row>
    <row r="7" spans="1:20" s="77" customFormat="1" ht="15.75">
      <c r="A7" s="763">
        <v>2008</v>
      </c>
      <c r="B7" s="713">
        <v>5249</v>
      </c>
      <c r="C7" s="713">
        <v>457</v>
      </c>
      <c r="D7" s="713">
        <v>2480</v>
      </c>
      <c r="E7" s="713">
        <v>167</v>
      </c>
      <c r="F7" s="713">
        <v>61</v>
      </c>
      <c r="G7" s="713">
        <v>2135</v>
      </c>
      <c r="H7" s="713">
        <v>47</v>
      </c>
      <c r="I7" s="713">
        <v>381</v>
      </c>
      <c r="J7" s="713">
        <v>0</v>
      </c>
      <c r="K7" s="1277">
        <f t="shared" si="0"/>
        <v>10977</v>
      </c>
      <c r="L7" s="767">
        <f t="shared" si="1"/>
        <v>0.47818165254623302</v>
      </c>
      <c r="M7" s="767">
        <f t="shared" si="2"/>
        <v>4.1632504327229661E-2</v>
      </c>
      <c r="N7" s="767">
        <f t="shared" si="3"/>
        <v>0.22592693814339074</v>
      </c>
      <c r="O7" s="767">
        <f t="shared" si="4"/>
        <v>1.5213628495946069E-2</v>
      </c>
      <c r="P7" s="767">
        <f t="shared" si="5"/>
        <v>5.5570738817527559E-3</v>
      </c>
      <c r="Q7" s="767">
        <f t="shared" si="6"/>
        <v>0.19449758586134644</v>
      </c>
      <c r="R7" s="767">
        <f t="shared" si="7"/>
        <v>4.2816798761045822E-3</v>
      </c>
      <c r="S7" s="767">
        <f t="shared" si="8"/>
        <v>3.4708936867996719E-2</v>
      </c>
      <c r="T7" s="768">
        <f t="shared" si="9"/>
        <v>0</v>
      </c>
    </row>
    <row r="8" spans="1:20" s="77" customFormat="1" ht="15.75">
      <c r="A8" s="631">
        <v>2009</v>
      </c>
      <c r="B8" s="713">
        <v>5951</v>
      </c>
      <c r="C8" s="713">
        <v>466</v>
      </c>
      <c r="D8" s="713">
        <v>3922</v>
      </c>
      <c r="E8" s="713">
        <v>308</v>
      </c>
      <c r="F8" s="713">
        <v>128</v>
      </c>
      <c r="G8" s="713">
        <v>2899</v>
      </c>
      <c r="H8" s="713">
        <v>159</v>
      </c>
      <c r="I8" s="713">
        <v>850</v>
      </c>
      <c r="J8" s="713">
        <v>0</v>
      </c>
      <c r="K8" s="1277">
        <f t="shared" si="0"/>
        <v>14683</v>
      </c>
      <c r="L8" s="767">
        <f t="shared" si="1"/>
        <v>0.40529864469113941</v>
      </c>
      <c r="M8" s="767">
        <f t="shared" si="2"/>
        <v>3.1737383368521423E-2</v>
      </c>
      <c r="N8" s="767">
        <f t="shared" si="3"/>
        <v>0.26711162568957297</v>
      </c>
      <c r="O8" s="767">
        <f t="shared" si="4"/>
        <v>2.0976639651297417E-2</v>
      </c>
      <c r="P8" s="767">
        <f t="shared" si="5"/>
        <v>8.7175645304093177E-3</v>
      </c>
      <c r="Q8" s="767">
        <f t="shared" si="6"/>
        <v>0.19743921541919227</v>
      </c>
      <c r="R8" s="767">
        <f t="shared" si="7"/>
        <v>1.0828849690117824E-2</v>
      </c>
      <c r="S8" s="767">
        <f t="shared" si="8"/>
        <v>5.7890076959749369E-2</v>
      </c>
      <c r="T8" s="768">
        <f t="shared" si="9"/>
        <v>0</v>
      </c>
    </row>
    <row r="9" spans="1:20" s="77" customFormat="1" ht="15.75">
      <c r="A9" s="763">
        <v>2010</v>
      </c>
      <c r="B9" s="713">
        <v>6247</v>
      </c>
      <c r="C9" s="713">
        <v>524</v>
      </c>
      <c r="D9" s="713">
        <v>4790</v>
      </c>
      <c r="E9" s="713">
        <v>428</v>
      </c>
      <c r="F9" s="713">
        <v>239</v>
      </c>
      <c r="G9" s="713">
        <v>3860</v>
      </c>
      <c r="H9" s="713">
        <v>234</v>
      </c>
      <c r="I9" s="713">
        <v>1134</v>
      </c>
      <c r="J9" s="713">
        <v>0</v>
      </c>
      <c r="K9" s="1277">
        <f t="shared" si="0"/>
        <v>17456</v>
      </c>
      <c r="L9" s="767">
        <f t="shared" si="1"/>
        <v>0.35787121906507791</v>
      </c>
      <c r="M9" s="767">
        <f t="shared" si="2"/>
        <v>3.0018331805682859E-2</v>
      </c>
      <c r="N9" s="767">
        <f t="shared" si="3"/>
        <v>0.27440421631530704</v>
      </c>
      <c r="O9" s="767">
        <f t="shared" si="4"/>
        <v>2.451879010082493E-2</v>
      </c>
      <c r="P9" s="767">
        <f t="shared" si="5"/>
        <v>1.3691567369385885E-2</v>
      </c>
      <c r="Q9" s="767">
        <f t="shared" si="6"/>
        <v>0.22112740604949588</v>
      </c>
      <c r="R9" s="767">
        <f t="shared" si="7"/>
        <v>1.3405132905591201E-2</v>
      </c>
      <c r="S9" s="767">
        <f t="shared" si="8"/>
        <v>6.4963336388634274E-2</v>
      </c>
      <c r="T9" s="768">
        <f t="shared" si="9"/>
        <v>0</v>
      </c>
    </row>
    <row r="10" spans="1:20" s="77" customFormat="1" ht="15.75">
      <c r="A10" s="763">
        <v>2011</v>
      </c>
      <c r="B10" s="713">
        <v>7512</v>
      </c>
      <c r="C10" s="713">
        <v>818</v>
      </c>
      <c r="D10" s="713">
        <v>6018</v>
      </c>
      <c r="E10" s="713">
        <v>681</v>
      </c>
      <c r="F10" s="713">
        <v>471</v>
      </c>
      <c r="G10" s="713">
        <v>5158</v>
      </c>
      <c r="H10" s="713">
        <v>364</v>
      </c>
      <c r="I10" s="713">
        <v>1575</v>
      </c>
      <c r="J10" s="713">
        <v>0</v>
      </c>
      <c r="K10" s="1277">
        <f t="shared" si="0"/>
        <v>22597</v>
      </c>
      <c r="L10" s="767">
        <f t="shared" si="1"/>
        <v>0.33243350887285922</v>
      </c>
      <c r="M10" s="767">
        <f t="shared" si="2"/>
        <v>3.6199495508253306E-2</v>
      </c>
      <c r="N10" s="767">
        <f t="shared" si="3"/>
        <v>0.26631853785900783</v>
      </c>
      <c r="O10" s="767">
        <f t="shared" si="4"/>
        <v>3.0136743815550735E-2</v>
      </c>
      <c r="P10" s="767">
        <f t="shared" si="5"/>
        <v>2.0843474797539497E-2</v>
      </c>
      <c r="Q10" s="767">
        <f t="shared" si="6"/>
        <v>0.22826038854715228</v>
      </c>
      <c r="R10" s="767">
        <f t="shared" si="7"/>
        <v>1.6108332964552816E-2</v>
      </c>
      <c r="S10" s="767">
        <f t="shared" si="8"/>
        <v>6.9699517635084307E-2</v>
      </c>
      <c r="T10" s="768">
        <f t="shared" si="9"/>
        <v>0</v>
      </c>
    </row>
    <row r="11" spans="1:20" s="77" customFormat="1" ht="15.75">
      <c r="A11" s="763" t="s">
        <v>485</v>
      </c>
      <c r="B11" s="713">
        <v>8554</v>
      </c>
      <c r="C11" s="713">
        <v>1073</v>
      </c>
      <c r="D11" s="713">
        <v>7266</v>
      </c>
      <c r="E11" s="713">
        <v>925</v>
      </c>
      <c r="F11" s="713">
        <v>535</v>
      </c>
      <c r="G11" s="713">
        <v>5902</v>
      </c>
      <c r="H11" s="713">
        <v>474</v>
      </c>
      <c r="I11" s="713">
        <v>1959</v>
      </c>
      <c r="J11" s="713">
        <v>0</v>
      </c>
      <c r="K11" s="1277">
        <f>SUM(B11:J11)</f>
        <v>26688</v>
      </c>
      <c r="L11" s="767">
        <f>B11/K11</f>
        <v>0.32051858513189446</v>
      </c>
      <c r="M11" s="767">
        <f>C11/K11</f>
        <v>4.0205335731414868E-2</v>
      </c>
      <c r="N11" s="767">
        <f>D11/K11</f>
        <v>0.27225719424460432</v>
      </c>
      <c r="O11" s="767">
        <f>E11/K11</f>
        <v>3.4659772182254196E-2</v>
      </c>
      <c r="P11" s="767">
        <f>F11/K11</f>
        <v>2.0046462829736211E-2</v>
      </c>
      <c r="Q11" s="767">
        <f>G11/K11</f>
        <v>0.2211480815347722</v>
      </c>
      <c r="R11" s="767">
        <f>H11/K11</f>
        <v>1.7760791366906475E-2</v>
      </c>
      <c r="S11" s="767">
        <f>I11/K11</f>
        <v>7.3403776978417268E-2</v>
      </c>
      <c r="T11" s="768">
        <f>J11/K11</f>
        <v>0</v>
      </c>
    </row>
    <row r="12" spans="1:20" s="141" customFormat="1" ht="15.75">
      <c r="A12" s="763" t="s">
        <v>573</v>
      </c>
      <c r="B12" s="713">
        <v>9093</v>
      </c>
      <c r="C12" s="713">
        <v>1147</v>
      </c>
      <c r="D12" s="713">
        <v>8256</v>
      </c>
      <c r="E12" s="713">
        <v>933</v>
      </c>
      <c r="F12" s="713">
        <v>584</v>
      </c>
      <c r="G12" s="713">
        <v>5913</v>
      </c>
      <c r="H12" s="713">
        <v>417</v>
      </c>
      <c r="I12" s="713">
        <v>2292</v>
      </c>
      <c r="J12" s="713">
        <v>0</v>
      </c>
      <c r="K12" s="1277">
        <f>SUM(B12:J12)</f>
        <v>28635</v>
      </c>
      <c r="L12" s="767">
        <f>B12/K12</f>
        <v>0.31754845468831849</v>
      </c>
      <c r="M12" s="767">
        <f>C12/K12</f>
        <v>4.0055875676619522E-2</v>
      </c>
      <c r="N12" s="767">
        <f>D12/K12</f>
        <v>0.28831849135673127</v>
      </c>
      <c r="O12" s="767">
        <f>E12/K12</f>
        <v>3.2582503928758513E-2</v>
      </c>
      <c r="P12" s="767">
        <f>F12/K12</f>
        <v>2.0394621966125372E-2</v>
      </c>
      <c r="Q12" s="767">
        <f>G12/K12</f>
        <v>0.20649554740701939</v>
      </c>
      <c r="R12" s="767">
        <f>H12/K12</f>
        <v>1.4562598218962807E-2</v>
      </c>
      <c r="S12" s="767">
        <f>I12/K12</f>
        <v>8.0041906757464643E-2</v>
      </c>
      <c r="T12" s="768">
        <f>J12/K12</f>
        <v>0</v>
      </c>
    </row>
    <row r="13" spans="1:20" s="141" customFormat="1" ht="15.75">
      <c r="A13" s="763" t="s">
        <v>581</v>
      </c>
      <c r="B13" s="713">
        <v>10098</v>
      </c>
      <c r="C13" s="713">
        <v>1346</v>
      </c>
      <c r="D13" s="713">
        <v>8494</v>
      </c>
      <c r="E13" s="713">
        <v>1003</v>
      </c>
      <c r="F13" s="713">
        <v>627</v>
      </c>
      <c r="G13" s="713">
        <v>6354</v>
      </c>
      <c r="H13" s="713">
        <v>518</v>
      </c>
      <c r="I13" s="713">
        <v>2592</v>
      </c>
      <c r="J13" s="713">
        <v>0</v>
      </c>
      <c r="K13" s="1277">
        <f>SUM(B13:J13)</f>
        <v>31032</v>
      </c>
      <c r="L13" s="767">
        <f>B13/K13</f>
        <v>0.32540603248259858</v>
      </c>
      <c r="M13" s="767">
        <f>C13/K13</f>
        <v>4.337458107759732E-2</v>
      </c>
      <c r="N13" s="767">
        <f>D13/K13</f>
        <v>0.27371745295179167</v>
      </c>
      <c r="O13" s="767">
        <f>E13/K13</f>
        <v>3.2321474606857435E-2</v>
      </c>
      <c r="P13" s="767">
        <f>F13/K13</f>
        <v>2.0204949729311677E-2</v>
      </c>
      <c r="Q13" s="767">
        <f>G13/K13</f>
        <v>0.20475638051044084</v>
      </c>
      <c r="R13" s="767">
        <f>H13/K13</f>
        <v>1.6692446506831656E-2</v>
      </c>
      <c r="S13" s="767">
        <f>I13/K13</f>
        <v>8.3526682134570762E-2</v>
      </c>
      <c r="T13" s="768">
        <f>J13/K13</f>
        <v>0</v>
      </c>
    </row>
    <row r="14" spans="1:20" s="141" customFormat="1" ht="15.75">
      <c r="A14" s="763" t="s">
        <v>968</v>
      </c>
      <c r="B14" s="713">
        <f>713+785+1057+869+939+953</f>
        <v>5316</v>
      </c>
      <c r="C14" s="713">
        <f>96+105+125+106+118+123</f>
        <v>673</v>
      </c>
      <c r="D14" s="713">
        <f>595+700+811+794+831+842</f>
        <v>4573</v>
      </c>
      <c r="E14" s="713">
        <f>67+106+107+118+126+100</f>
        <v>624</v>
      </c>
      <c r="F14" s="713">
        <f>15+44+58+39+32+49</f>
        <v>237</v>
      </c>
      <c r="G14" s="713">
        <f>509+595+681+578+529+593</f>
        <v>3485</v>
      </c>
      <c r="H14" s="713">
        <f>39+47+51+49+46+46</f>
        <v>278</v>
      </c>
      <c r="I14" s="713">
        <f>214+208+248+226+258+219</f>
        <v>1373</v>
      </c>
      <c r="J14" s="713">
        <v>0</v>
      </c>
      <c r="K14" s="1277">
        <f>SUM(B14:J14)</f>
        <v>16559</v>
      </c>
      <c r="L14" s="767">
        <f>B14/K14</f>
        <v>0.32103387885741891</v>
      </c>
      <c r="M14" s="767">
        <f>C14/K14</f>
        <v>4.0642550878676249E-2</v>
      </c>
      <c r="N14" s="767">
        <f>D14/K14</f>
        <v>0.27616401956639891</v>
      </c>
      <c r="O14" s="767">
        <f>E14/K14</f>
        <v>3.7683434990035632E-2</v>
      </c>
      <c r="P14" s="767">
        <f>F14/K14</f>
        <v>1.4312458481792379E-2</v>
      </c>
      <c r="Q14" s="767">
        <f>G14/K14</f>
        <v>0.21045956881454195</v>
      </c>
      <c r="R14" s="767">
        <f>H14/K14</f>
        <v>1.6788453409022283E-2</v>
      </c>
      <c r="S14" s="767">
        <f>I14/K14</f>
        <v>8.2915635002113658E-2</v>
      </c>
      <c r="T14" s="768">
        <f>J14/K14</f>
        <v>0</v>
      </c>
    </row>
    <row r="15" spans="1:20" s="77" customFormat="1" ht="15.75">
      <c r="A15" s="762" t="s">
        <v>143</v>
      </c>
      <c r="B15" s="764">
        <f>SUM(B4:B14)</f>
        <v>72463</v>
      </c>
      <c r="C15" s="764">
        <f t="shared" ref="C15:K15" si="10">SUM(C4:C14)</f>
        <v>6774</v>
      </c>
      <c r="D15" s="764">
        <f t="shared" si="10"/>
        <v>46948</v>
      </c>
      <c r="E15" s="764">
        <f t="shared" si="10"/>
        <v>5183</v>
      </c>
      <c r="F15" s="764">
        <f t="shared" si="10"/>
        <v>2938</v>
      </c>
      <c r="G15" s="764">
        <f t="shared" si="10"/>
        <v>37133</v>
      </c>
      <c r="H15" s="764">
        <f t="shared" si="10"/>
        <v>2563</v>
      </c>
      <c r="I15" s="764">
        <f t="shared" si="10"/>
        <v>12435</v>
      </c>
      <c r="J15" s="764">
        <f t="shared" si="10"/>
        <v>0</v>
      </c>
      <c r="K15" s="1278">
        <f t="shared" si="10"/>
        <v>186437</v>
      </c>
      <c r="L15" s="765">
        <f>B15/K15</f>
        <v>0.38867284927348111</v>
      </c>
      <c r="M15" s="765">
        <f t="shared" si="2"/>
        <v>3.6333989497792818E-2</v>
      </c>
      <c r="N15" s="765">
        <f t="shared" si="3"/>
        <v>0.2518169676619984</v>
      </c>
      <c r="O15" s="765">
        <f t="shared" si="4"/>
        <v>2.7800275696347829E-2</v>
      </c>
      <c r="P15" s="765">
        <f t="shared" si="5"/>
        <v>1.5758674512033555E-2</v>
      </c>
      <c r="Q15" s="765">
        <f t="shared" si="6"/>
        <v>0.19917183820808101</v>
      </c>
      <c r="R15" s="765">
        <f t="shared" si="7"/>
        <v>1.3747271196168143E-2</v>
      </c>
      <c r="S15" s="765">
        <f t="shared" si="8"/>
        <v>6.66981339540971E-2</v>
      </c>
      <c r="T15" s="766">
        <f t="shared" si="9"/>
        <v>0</v>
      </c>
    </row>
    <row r="16" spans="1:20" s="77" customFormat="1">
      <c r="K16" s="39"/>
    </row>
    <row r="17" spans="8:12" s="77" customFormat="1" ht="15.75">
      <c r="H17" s="153"/>
      <c r="K17" s="218">
        <f>+(K5-K4)/K4</f>
        <v>0.48351648351648352</v>
      </c>
    </row>
    <row r="18" spans="8:12" s="77" customFormat="1">
      <c r="K18" s="218">
        <f t="shared" ref="K18:K24" si="11">+(K6-K5)/K5</f>
        <v>0.54363143631436317</v>
      </c>
    </row>
    <row r="19" spans="8:12" s="77" customFormat="1">
      <c r="K19" s="218">
        <f t="shared" si="11"/>
        <v>0.2847612359550562</v>
      </c>
    </row>
    <row r="20" spans="8:12" s="77" customFormat="1">
      <c r="K20" s="218">
        <f t="shared" si="11"/>
        <v>0.33761501320943793</v>
      </c>
      <c r="L20" s="23"/>
    </row>
    <row r="21" spans="8:12" s="77" customFormat="1">
      <c r="K21" s="218">
        <f t="shared" si="11"/>
        <v>0.18885786283457059</v>
      </c>
      <c r="L21" s="23"/>
    </row>
    <row r="22" spans="8:12" s="77" customFormat="1">
      <c r="K22" s="218">
        <f t="shared" si="11"/>
        <v>0.29451191567369384</v>
      </c>
      <c r="L22" s="23"/>
    </row>
    <row r="23" spans="8:12" s="77" customFormat="1">
      <c r="K23" s="218">
        <f t="shared" si="11"/>
        <v>0.18104173120325706</v>
      </c>
      <c r="L23" s="23"/>
    </row>
    <row r="24" spans="8:12" s="77" customFormat="1">
      <c r="K24" s="218">
        <f t="shared" si="11"/>
        <v>7.2954136690647486E-2</v>
      </c>
      <c r="L24" s="23"/>
    </row>
    <row r="25" spans="8:12" s="77" customFormat="1">
      <c r="K25" s="218">
        <f>+(K13-K12)/K12</f>
        <v>8.3708748035620742E-2</v>
      </c>
      <c r="L25" s="23"/>
    </row>
    <row r="26" spans="8:12" s="77" customFormat="1">
      <c r="K26" s="218"/>
      <c r="L26" s="23"/>
    </row>
    <row r="27" spans="8:12" s="77" customFormat="1">
      <c r="K27" s="218">
        <f>AVERAGE(K17:K26)</f>
        <v>0.27451095149257004</v>
      </c>
      <c r="L27" s="23"/>
    </row>
    <row r="28" spans="8:12" s="77" customFormat="1">
      <c r="K28" s="218"/>
      <c r="L28" s="23"/>
    </row>
    <row r="29" spans="8:12" s="77" customFormat="1">
      <c r="K29" s="23"/>
      <c r="L29" s="23"/>
    </row>
    <row r="30" spans="8:12" s="77" customFormat="1">
      <c r="K30" s="23"/>
      <c r="L30" s="23"/>
    </row>
    <row r="31" spans="8:12" s="77" customFormat="1">
      <c r="K31" s="23"/>
      <c r="L31" s="23"/>
    </row>
    <row r="32" spans="8:12" s="77" customFormat="1">
      <c r="K32" s="23"/>
      <c r="L32" s="23"/>
    </row>
    <row r="33" spans="3:12" s="77" customFormat="1">
      <c r="K33" s="23"/>
      <c r="L33" s="23"/>
    </row>
    <row r="34" spans="3:12" s="77" customFormat="1">
      <c r="K34" s="23"/>
      <c r="L34" s="23"/>
    </row>
    <row r="35" spans="3:12" s="77" customFormat="1">
      <c r="K35" s="23"/>
      <c r="L35" s="23"/>
    </row>
    <row r="36" spans="3:12" s="77" customFormat="1"/>
    <row r="37" spans="3:12" s="77" customFormat="1"/>
    <row r="38" spans="3:12" s="77" customFormat="1" ht="15.75">
      <c r="C38" s="142"/>
    </row>
    <row r="39" spans="3:12" s="77" customFormat="1"/>
    <row r="40" spans="3:12" s="77" customFormat="1"/>
    <row r="41" spans="3:12" s="77" customFormat="1"/>
    <row r="42" spans="3:12" s="77" customFormat="1"/>
    <row r="43" spans="3:12" s="77" customFormat="1" ht="46.5" customHeight="1"/>
    <row r="44" spans="3:12" s="77" customFormat="1" ht="54.75" customHeight="1"/>
    <row r="45" spans="3:12" s="77" customFormat="1"/>
    <row r="46" spans="3:12" s="77"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R49"/>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Q17" sqref="Q17"/>
    </sheetView>
  </sheetViews>
  <sheetFormatPr baseColWidth="10" defaultColWidth="11.42578125" defaultRowHeight="18.75"/>
  <cols>
    <col min="1" max="1" width="27.28515625" style="39" customWidth="1"/>
    <col min="2" max="2" width="9.42578125" style="39" hidden="1" customWidth="1"/>
    <col min="3" max="3" width="10" style="39" customWidth="1"/>
    <col min="4" max="4" width="9" style="39" customWidth="1"/>
    <col min="5" max="5" width="10.42578125" style="39" customWidth="1"/>
    <col min="6" max="7" width="10.5703125" style="39" customWidth="1"/>
    <col min="8" max="8" width="10" style="39" customWidth="1"/>
    <col min="9" max="9" width="11.140625" style="39" customWidth="1"/>
    <col min="10" max="10" width="11.5703125" style="39" customWidth="1"/>
    <col min="11" max="11" width="13.85546875" style="39" customWidth="1"/>
    <col min="12" max="12" width="14" style="39" customWidth="1"/>
    <col min="13" max="13" width="17.42578125" style="39" customWidth="1"/>
    <col min="14" max="14" width="13.28515625" style="39" customWidth="1"/>
    <col min="15" max="15" width="15" style="39" customWidth="1"/>
    <col min="16" max="16" width="11.42578125" style="39"/>
    <col min="17" max="17" width="6.7109375" style="39" customWidth="1"/>
    <col min="18" max="18" width="14.85546875" style="1780" customWidth="1"/>
    <col min="19" max="16384" width="11.42578125" style="39"/>
  </cols>
  <sheetData>
    <row r="1" spans="1:18" s="77" customFormat="1" ht="78.75" customHeight="1">
      <c r="A1" s="1987"/>
      <c r="B1" s="1987"/>
      <c r="C1" s="1987"/>
      <c r="D1" s="1987"/>
      <c r="E1" s="1987"/>
      <c r="F1" s="1987"/>
      <c r="G1" s="1987"/>
      <c r="H1" s="1987"/>
      <c r="I1" s="1987"/>
      <c r="J1" s="1987"/>
      <c r="K1" s="1987"/>
      <c r="L1" s="1987"/>
      <c r="M1" s="1987"/>
      <c r="N1" s="1987"/>
      <c r="O1" s="1987"/>
      <c r="P1" s="1987"/>
      <c r="Q1" s="1987"/>
      <c r="R1" s="213"/>
    </row>
    <row r="2" spans="1:18" s="77" customFormat="1" ht="6" customHeight="1">
      <c r="A2" s="1770"/>
      <c r="B2" s="1771"/>
      <c r="C2" s="1771"/>
      <c r="D2" s="1771"/>
      <c r="E2" s="1771"/>
      <c r="F2" s="1771"/>
      <c r="G2" s="1771"/>
      <c r="H2" s="1771"/>
      <c r="I2" s="1771"/>
      <c r="J2" s="1771"/>
      <c r="K2" s="1771"/>
      <c r="L2" s="1771"/>
      <c r="M2" s="1771"/>
      <c r="N2" s="666"/>
      <c r="R2" s="1221"/>
    </row>
    <row r="3" spans="1:18" s="1169" customFormat="1" ht="33.75" customHeight="1">
      <c r="A3" s="663" t="s">
        <v>314</v>
      </c>
      <c r="B3" s="668" t="s">
        <v>263</v>
      </c>
      <c r="C3" s="668" t="s">
        <v>262</v>
      </c>
      <c r="D3" s="668" t="s">
        <v>261</v>
      </c>
      <c r="E3" s="668" t="s">
        <v>177</v>
      </c>
      <c r="F3" s="668" t="s">
        <v>232</v>
      </c>
      <c r="G3" s="668" t="s">
        <v>233</v>
      </c>
      <c r="H3" s="668" t="s">
        <v>196</v>
      </c>
      <c r="I3" s="668" t="s">
        <v>234</v>
      </c>
      <c r="J3" s="668" t="s">
        <v>485</v>
      </c>
      <c r="K3" s="668" t="s">
        <v>573</v>
      </c>
      <c r="L3" s="668" t="s">
        <v>581</v>
      </c>
      <c r="M3" s="668" t="s">
        <v>969</v>
      </c>
      <c r="N3" s="673" t="s">
        <v>143</v>
      </c>
      <c r="O3" s="664" t="s">
        <v>313</v>
      </c>
      <c r="R3" s="1251"/>
    </row>
    <row r="4" spans="1:18" s="77" customFormat="1" ht="18.75" customHeight="1">
      <c r="A4" s="670" t="s">
        <v>141</v>
      </c>
      <c r="B4" s="288">
        <v>2643</v>
      </c>
      <c r="C4" s="288">
        <v>3722</v>
      </c>
      <c r="D4" s="288">
        <v>5459</v>
      </c>
      <c r="E4" s="288">
        <v>4339</v>
      </c>
      <c r="F4" s="288">
        <v>4630</v>
      </c>
      <c r="G4" s="288">
        <v>5594</v>
      </c>
      <c r="H4" s="288">
        <v>5468</v>
      </c>
      <c r="I4" s="288">
        <v>6340</v>
      </c>
      <c r="J4" s="288">
        <v>7066</v>
      </c>
      <c r="K4" s="288">
        <v>7848</v>
      </c>
      <c r="L4" s="288">
        <v>8452</v>
      </c>
      <c r="M4" s="288">
        <v>4468</v>
      </c>
      <c r="N4" s="674">
        <f t="shared" ref="N4:N35" si="0">+M4+L4+K4+J4+I4+H4+G4+F4+E4+D4+C4</f>
        <v>63386</v>
      </c>
      <c r="O4" s="676">
        <f t="shared" ref="O4:O35" si="1">N4/$N$36</f>
        <v>0.33998616154518685</v>
      </c>
      <c r="P4" s="1169"/>
      <c r="Q4" s="1169"/>
      <c r="R4" s="1251"/>
    </row>
    <row r="5" spans="1:18" s="77" customFormat="1" ht="18.75" customHeight="1">
      <c r="A5" s="670" t="s">
        <v>287</v>
      </c>
      <c r="B5" s="288">
        <v>1</v>
      </c>
      <c r="C5" s="288">
        <v>1</v>
      </c>
      <c r="D5" s="288">
        <v>11</v>
      </c>
      <c r="E5" s="288">
        <v>831</v>
      </c>
      <c r="F5" s="288">
        <v>1946</v>
      </c>
      <c r="G5" s="288">
        <v>3132</v>
      </c>
      <c r="H5" s="288">
        <v>3724</v>
      </c>
      <c r="I5" s="288">
        <v>4758</v>
      </c>
      <c r="J5" s="288">
        <v>5812</v>
      </c>
      <c r="K5" s="288">
        <v>6563</v>
      </c>
      <c r="L5" s="288">
        <v>6779</v>
      </c>
      <c r="M5" s="288">
        <v>3711</v>
      </c>
      <c r="N5" s="674">
        <f t="shared" si="0"/>
        <v>37268</v>
      </c>
      <c r="O5" s="676">
        <f t="shared" si="1"/>
        <v>0.19989594340179256</v>
      </c>
      <c r="P5" s="182"/>
      <c r="R5" s="1221"/>
    </row>
    <row r="6" spans="1:18" s="77" customFormat="1" ht="18.75" customHeight="1">
      <c r="A6" s="670" t="s">
        <v>464</v>
      </c>
      <c r="B6" s="288">
        <v>1</v>
      </c>
      <c r="C6" s="288">
        <v>2</v>
      </c>
      <c r="D6" s="288">
        <v>10</v>
      </c>
      <c r="E6" s="288">
        <v>636</v>
      </c>
      <c r="F6" s="288">
        <v>1044</v>
      </c>
      <c r="G6" s="288">
        <v>1446</v>
      </c>
      <c r="H6" s="288">
        <v>2079</v>
      </c>
      <c r="I6" s="288">
        <v>2640</v>
      </c>
      <c r="J6" s="288">
        <v>3181</v>
      </c>
      <c r="K6" s="288">
        <v>3142</v>
      </c>
      <c r="L6" s="288">
        <v>3337</v>
      </c>
      <c r="M6" s="288">
        <v>1812</v>
      </c>
      <c r="N6" s="674">
        <f t="shared" si="0"/>
        <v>19329</v>
      </c>
      <c r="O6" s="676">
        <f t="shared" si="1"/>
        <v>0.10367577251296685</v>
      </c>
      <c r="R6" s="1221"/>
    </row>
    <row r="7" spans="1:18" s="77" customFormat="1" ht="18.75" customHeight="1">
      <c r="A7" s="670" t="s">
        <v>303</v>
      </c>
      <c r="B7" s="288">
        <v>0</v>
      </c>
      <c r="C7" s="288">
        <v>1</v>
      </c>
      <c r="D7" s="288">
        <v>9</v>
      </c>
      <c r="E7" s="288">
        <v>512</v>
      </c>
      <c r="F7" s="288">
        <v>667</v>
      </c>
      <c r="G7" s="288">
        <v>854</v>
      </c>
      <c r="H7" s="288">
        <v>1224</v>
      </c>
      <c r="I7" s="288">
        <v>1579</v>
      </c>
      <c r="J7" s="288">
        <v>1879</v>
      </c>
      <c r="K7" s="288">
        <v>1757</v>
      </c>
      <c r="L7" s="288">
        <v>1808</v>
      </c>
      <c r="M7" s="288">
        <v>1061</v>
      </c>
      <c r="N7" s="674">
        <f t="shared" si="0"/>
        <v>11351</v>
      </c>
      <c r="O7" s="676">
        <f t="shared" si="1"/>
        <v>6.0883837435702137E-2</v>
      </c>
      <c r="R7" s="1221"/>
    </row>
    <row r="8" spans="1:18" s="77" customFormat="1" ht="18.75" customHeight="1">
      <c r="A8" s="670" t="s">
        <v>142</v>
      </c>
      <c r="B8" s="288">
        <v>1</v>
      </c>
      <c r="C8" s="288">
        <v>2</v>
      </c>
      <c r="D8" s="288">
        <v>12</v>
      </c>
      <c r="E8" s="288">
        <v>891</v>
      </c>
      <c r="F8" s="288">
        <v>611</v>
      </c>
      <c r="G8" s="288">
        <v>342</v>
      </c>
      <c r="H8" s="288">
        <v>732</v>
      </c>
      <c r="I8" s="288">
        <v>1119</v>
      </c>
      <c r="J8" s="288">
        <v>1422</v>
      </c>
      <c r="K8" s="288">
        <v>1168</v>
      </c>
      <c r="L8" s="288">
        <v>1470</v>
      </c>
      <c r="M8" s="288">
        <v>709</v>
      </c>
      <c r="N8" s="674">
        <f t="shared" si="0"/>
        <v>8478</v>
      </c>
      <c r="O8" s="676">
        <f t="shared" si="1"/>
        <v>4.5473806165085257E-2</v>
      </c>
      <c r="R8" s="1221"/>
    </row>
    <row r="9" spans="1:18" s="77" customFormat="1" ht="18.75" customHeight="1">
      <c r="A9" s="670" t="s">
        <v>295</v>
      </c>
      <c r="B9" s="288">
        <v>0</v>
      </c>
      <c r="C9" s="288">
        <v>0</v>
      </c>
      <c r="D9" s="288">
        <v>4</v>
      </c>
      <c r="E9" s="288">
        <v>278</v>
      </c>
      <c r="F9" s="288">
        <v>496</v>
      </c>
      <c r="G9" s="288">
        <v>725</v>
      </c>
      <c r="H9" s="288">
        <v>943</v>
      </c>
      <c r="I9" s="288">
        <v>992</v>
      </c>
      <c r="J9" s="288">
        <v>1013</v>
      </c>
      <c r="K9" s="288">
        <v>1085</v>
      </c>
      <c r="L9" s="288">
        <v>1043</v>
      </c>
      <c r="M9" s="288">
        <v>576</v>
      </c>
      <c r="N9" s="674">
        <f t="shared" si="0"/>
        <v>7155</v>
      </c>
      <c r="O9" s="676">
        <f t="shared" si="1"/>
        <v>3.837757526671208E-2</v>
      </c>
      <c r="R9" s="1266"/>
    </row>
    <row r="10" spans="1:18" s="77" customFormat="1" ht="18.75" customHeight="1">
      <c r="A10" s="670" t="s">
        <v>292</v>
      </c>
      <c r="B10" s="288">
        <v>1</v>
      </c>
      <c r="C10" s="288">
        <v>1</v>
      </c>
      <c r="D10" s="288">
        <v>9</v>
      </c>
      <c r="E10" s="288">
        <v>234</v>
      </c>
      <c r="F10" s="288">
        <v>426</v>
      </c>
      <c r="G10" s="288">
        <v>422</v>
      </c>
      <c r="H10" s="288">
        <v>441</v>
      </c>
      <c r="I10" s="288">
        <v>639</v>
      </c>
      <c r="J10" s="288">
        <v>812</v>
      </c>
      <c r="K10" s="288">
        <v>865</v>
      </c>
      <c r="L10" s="288">
        <v>1003</v>
      </c>
      <c r="M10" s="288">
        <v>506</v>
      </c>
      <c r="N10" s="674">
        <f t="shared" si="0"/>
        <v>5358</v>
      </c>
      <c r="O10" s="676">
        <f t="shared" si="1"/>
        <v>2.8738930577085021E-2</v>
      </c>
      <c r="R10" s="1221"/>
    </row>
    <row r="11" spans="1:18" s="77" customFormat="1" ht="18.75" customHeight="1">
      <c r="A11" s="670" t="s">
        <v>289</v>
      </c>
      <c r="B11" s="288">
        <v>0</v>
      </c>
      <c r="C11" s="288">
        <v>0</v>
      </c>
      <c r="D11" s="288">
        <v>3</v>
      </c>
      <c r="E11" s="288">
        <v>175</v>
      </c>
      <c r="F11" s="288">
        <v>369</v>
      </c>
      <c r="G11" s="288">
        <v>516</v>
      </c>
      <c r="H11" s="288">
        <v>478</v>
      </c>
      <c r="I11" s="288">
        <v>801</v>
      </c>
      <c r="J11" s="288">
        <v>641</v>
      </c>
      <c r="K11" s="288">
        <v>779</v>
      </c>
      <c r="L11" s="288">
        <v>932</v>
      </c>
      <c r="M11" s="288">
        <v>472</v>
      </c>
      <c r="N11" s="674">
        <f t="shared" si="0"/>
        <v>5166</v>
      </c>
      <c r="O11" s="676">
        <f t="shared" si="1"/>
        <v>2.7709092079361928E-2</v>
      </c>
      <c r="R11" s="1221"/>
    </row>
    <row r="12" spans="1:18" s="77" customFormat="1" ht="18.75" customHeight="1">
      <c r="A12" s="670" t="s">
        <v>302</v>
      </c>
      <c r="B12" s="288">
        <v>0</v>
      </c>
      <c r="C12" s="288">
        <v>0</v>
      </c>
      <c r="D12" s="288">
        <v>1</v>
      </c>
      <c r="E12" s="288">
        <v>124</v>
      </c>
      <c r="F12" s="288">
        <v>218</v>
      </c>
      <c r="G12" s="288">
        <v>320</v>
      </c>
      <c r="H12" s="288">
        <v>324</v>
      </c>
      <c r="I12" s="288">
        <v>467</v>
      </c>
      <c r="J12" s="288">
        <v>655</v>
      </c>
      <c r="K12" s="288">
        <v>716</v>
      </c>
      <c r="L12" s="288">
        <v>816</v>
      </c>
      <c r="M12" s="288">
        <v>401</v>
      </c>
      <c r="N12" s="674">
        <f t="shared" si="0"/>
        <v>4042</v>
      </c>
      <c r="O12" s="676">
        <f t="shared" si="1"/>
        <v>2.168024587394133E-2</v>
      </c>
      <c r="R12" s="1221"/>
    </row>
    <row r="13" spans="1:18" s="77" customFormat="1" ht="18.75" customHeight="1">
      <c r="A13" s="671" t="s">
        <v>285</v>
      </c>
      <c r="B13" s="667">
        <v>0</v>
      </c>
      <c r="C13" s="667">
        <v>0</v>
      </c>
      <c r="D13" s="667">
        <v>0</v>
      </c>
      <c r="E13" s="667">
        <v>36</v>
      </c>
      <c r="F13" s="667">
        <v>54</v>
      </c>
      <c r="G13" s="667">
        <v>149</v>
      </c>
      <c r="H13" s="667">
        <v>215</v>
      </c>
      <c r="I13" s="667">
        <v>280</v>
      </c>
      <c r="J13" s="288">
        <v>360</v>
      </c>
      <c r="K13" s="288">
        <v>447</v>
      </c>
      <c r="L13" s="288">
        <v>616</v>
      </c>
      <c r="M13" s="288">
        <v>362</v>
      </c>
      <c r="N13" s="674">
        <f t="shared" si="0"/>
        <v>2519</v>
      </c>
      <c r="O13" s="677">
        <f t="shared" si="1"/>
        <v>1.3511266540439933E-2</v>
      </c>
      <c r="R13" s="1221"/>
    </row>
    <row r="14" spans="1:18" s="77" customFormat="1" ht="18.75" customHeight="1">
      <c r="A14" s="670" t="s">
        <v>308</v>
      </c>
      <c r="B14" s="288">
        <v>0</v>
      </c>
      <c r="C14" s="288">
        <v>0</v>
      </c>
      <c r="D14" s="288">
        <v>2</v>
      </c>
      <c r="E14" s="288">
        <v>81</v>
      </c>
      <c r="F14" s="288">
        <v>108</v>
      </c>
      <c r="G14" s="288">
        <v>152</v>
      </c>
      <c r="H14" s="288">
        <v>189</v>
      </c>
      <c r="I14" s="288">
        <v>337</v>
      </c>
      <c r="J14" s="288">
        <v>416</v>
      </c>
      <c r="K14" s="288">
        <v>423</v>
      </c>
      <c r="L14" s="288">
        <v>467</v>
      </c>
      <c r="M14" s="288">
        <v>306</v>
      </c>
      <c r="N14" s="674">
        <f t="shared" si="0"/>
        <v>2481</v>
      </c>
      <c r="O14" s="676">
        <f t="shared" si="1"/>
        <v>1.3307444337765572E-2</v>
      </c>
      <c r="R14" s="1221"/>
    </row>
    <row r="15" spans="1:18" s="77" customFormat="1" ht="18.75" customHeight="1">
      <c r="A15" s="670" t="s">
        <v>306</v>
      </c>
      <c r="B15" s="288">
        <v>0</v>
      </c>
      <c r="C15" s="288">
        <v>0</v>
      </c>
      <c r="D15" s="288">
        <v>1</v>
      </c>
      <c r="E15" s="288">
        <v>23</v>
      </c>
      <c r="F15" s="288">
        <v>38</v>
      </c>
      <c r="G15" s="288">
        <v>65</v>
      </c>
      <c r="H15" s="288">
        <v>123</v>
      </c>
      <c r="I15" s="288">
        <v>268</v>
      </c>
      <c r="J15" s="288">
        <v>441</v>
      </c>
      <c r="K15" s="288">
        <v>608</v>
      </c>
      <c r="L15" s="288">
        <v>672</v>
      </c>
      <c r="M15" s="288">
        <v>286</v>
      </c>
      <c r="N15" s="674">
        <f t="shared" si="0"/>
        <v>2525</v>
      </c>
      <c r="O15" s="676">
        <f t="shared" si="1"/>
        <v>1.354344899349378E-2</v>
      </c>
      <c r="R15" s="1221"/>
    </row>
    <row r="16" spans="1:18" s="77" customFormat="1" ht="18.75" customHeight="1">
      <c r="A16" s="670" t="s">
        <v>300</v>
      </c>
      <c r="B16" s="288">
        <v>0</v>
      </c>
      <c r="C16" s="288">
        <v>0</v>
      </c>
      <c r="D16" s="288">
        <v>5</v>
      </c>
      <c r="E16" s="288">
        <v>63</v>
      </c>
      <c r="F16" s="288">
        <v>48</v>
      </c>
      <c r="G16" s="288">
        <v>187</v>
      </c>
      <c r="H16" s="288">
        <v>303</v>
      </c>
      <c r="I16" s="288">
        <v>303</v>
      </c>
      <c r="J16" s="288">
        <v>397</v>
      </c>
      <c r="K16" s="288">
        <v>370</v>
      </c>
      <c r="L16" s="288">
        <v>402</v>
      </c>
      <c r="M16" s="288">
        <v>184</v>
      </c>
      <c r="N16" s="674">
        <f t="shared" si="0"/>
        <v>2262</v>
      </c>
      <c r="O16" s="676">
        <f t="shared" si="1"/>
        <v>1.2132784801300171E-2</v>
      </c>
      <c r="R16" s="1221"/>
    </row>
    <row r="17" spans="1:18" s="77" customFormat="1" ht="18.75" customHeight="1">
      <c r="A17" s="670" t="s">
        <v>296</v>
      </c>
      <c r="B17" s="288">
        <v>0</v>
      </c>
      <c r="C17" s="288">
        <v>0</v>
      </c>
      <c r="D17" s="288">
        <v>1</v>
      </c>
      <c r="E17" s="288">
        <v>22</v>
      </c>
      <c r="F17" s="288">
        <v>30</v>
      </c>
      <c r="G17" s="288">
        <v>44</v>
      </c>
      <c r="H17" s="288">
        <v>82</v>
      </c>
      <c r="I17" s="288">
        <v>177</v>
      </c>
      <c r="J17" s="288">
        <v>260</v>
      </c>
      <c r="K17" s="288">
        <v>282</v>
      </c>
      <c r="L17" s="288">
        <v>342</v>
      </c>
      <c r="M17" s="288">
        <v>166</v>
      </c>
      <c r="N17" s="674">
        <f t="shared" si="0"/>
        <v>1406</v>
      </c>
      <c r="O17" s="676">
        <f t="shared" si="1"/>
        <v>7.5414214989513884E-3</v>
      </c>
      <c r="R17" s="1221"/>
    </row>
    <row r="18" spans="1:18" s="77" customFormat="1" ht="18.75" customHeight="1">
      <c r="A18" s="670" t="s">
        <v>299</v>
      </c>
      <c r="B18" s="288">
        <v>0</v>
      </c>
      <c r="C18" s="288">
        <v>1</v>
      </c>
      <c r="D18" s="288">
        <v>0</v>
      </c>
      <c r="E18" s="288">
        <v>11</v>
      </c>
      <c r="F18" s="288">
        <v>6</v>
      </c>
      <c r="G18" s="288">
        <v>15</v>
      </c>
      <c r="H18" s="288">
        <v>47</v>
      </c>
      <c r="I18" s="288">
        <v>54</v>
      </c>
      <c r="J18" s="288">
        <v>66</v>
      </c>
      <c r="K18" s="288">
        <v>77</v>
      </c>
      <c r="L18" s="288">
        <v>175</v>
      </c>
      <c r="M18" s="288">
        <v>139</v>
      </c>
      <c r="N18" s="674">
        <f t="shared" si="0"/>
        <v>591</v>
      </c>
      <c r="O18" s="676">
        <f t="shared" si="1"/>
        <v>3.1699716258038911E-3</v>
      </c>
      <c r="R18" s="1221"/>
    </row>
    <row r="19" spans="1:18" s="77" customFormat="1" ht="18.75" customHeight="1">
      <c r="A19" s="670" t="s">
        <v>298</v>
      </c>
      <c r="B19" s="288">
        <v>0</v>
      </c>
      <c r="C19" s="288">
        <v>0</v>
      </c>
      <c r="D19" s="288">
        <v>0</v>
      </c>
      <c r="E19" s="288">
        <v>8</v>
      </c>
      <c r="F19" s="288">
        <v>9</v>
      </c>
      <c r="G19" s="288">
        <v>22</v>
      </c>
      <c r="H19" s="288">
        <v>66</v>
      </c>
      <c r="I19" s="288">
        <v>121</v>
      </c>
      <c r="J19" s="288">
        <v>133</v>
      </c>
      <c r="K19" s="288">
        <v>223</v>
      </c>
      <c r="L19" s="288">
        <v>266</v>
      </c>
      <c r="M19" s="288">
        <v>138</v>
      </c>
      <c r="N19" s="674">
        <f t="shared" si="0"/>
        <v>986</v>
      </c>
      <c r="O19" s="676">
        <f t="shared" si="1"/>
        <v>5.2886497851821262E-3</v>
      </c>
      <c r="R19" s="1221"/>
    </row>
    <row r="20" spans="1:18" s="77" customFormat="1" ht="18.75" customHeight="1">
      <c r="A20" s="670" t="s">
        <v>301</v>
      </c>
      <c r="B20" s="288">
        <v>0</v>
      </c>
      <c r="C20" s="288">
        <v>0</v>
      </c>
      <c r="D20" s="288">
        <v>0</v>
      </c>
      <c r="E20" s="288">
        <v>13</v>
      </c>
      <c r="F20" s="288">
        <v>38</v>
      </c>
      <c r="G20" s="288">
        <v>131</v>
      </c>
      <c r="H20" s="288">
        <v>173</v>
      </c>
      <c r="I20" s="288">
        <v>155</v>
      </c>
      <c r="J20" s="288">
        <v>229</v>
      </c>
      <c r="K20" s="288">
        <v>180</v>
      </c>
      <c r="L20" s="288">
        <v>232</v>
      </c>
      <c r="M20" s="288">
        <v>125</v>
      </c>
      <c r="N20" s="674">
        <f t="shared" si="0"/>
        <v>1276</v>
      </c>
      <c r="O20" s="676">
        <f t="shared" si="1"/>
        <v>6.8441350161180456E-3</v>
      </c>
      <c r="R20" s="1221"/>
    </row>
    <row r="21" spans="1:18" s="77" customFormat="1" ht="18.75" customHeight="1">
      <c r="A21" s="670" t="s">
        <v>290</v>
      </c>
      <c r="B21" s="288">
        <v>0</v>
      </c>
      <c r="C21" s="288">
        <v>0</v>
      </c>
      <c r="D21" s="288">
        <v>3</v>
      </c>
      <c r="E21" s="288">
        <v>39</v>
      </c>
      <c r="F21" s="288">
        <v>21</v>
      </c>
      <c r="G21" s="288">
        <v>84</v>
      </c>
      <c r="H21" s="288">
        <v>112</v>
      </c>
      <c r="I21" s="288">
        <v>191</v>
      </c>
      <c r="J21" s="288">
        <v>233</v>
      </c>
      <c r="K21" s="288">
        <v>201</v>
      </c>
      <c r="L21" s="288">
        <v>241</v>
      </c>
      <c r="M21" s="288">
        <v>125</v>
      </c>
      <c r="N21" s="674">
        <f t="shared" si="0"/>
        <v>1250</v>
      </c>
      <c r="O21" s="676">
        <f t="shared" si="1"/>
        <v>6.7046777195513768E-3</v>
      </c>
      <c r="R21" s="1221"/>
    </row>
    <row r="22" spans="1:18" s="77" customFormat="1" ht="18.75" customHeight="1">
      <c r="A22" s="670" t="s">
        <v>288</v>
      </c>
      <c r="B22" s="288">
        <v>0</v>
      </c>
      <c r="C22" s="288">
        <v>0</v>
      </c>
      <c r="D22" s="288">
        <v>1</v>
      </c>
      <c r="E22" s="288">
        <v>21</v>
      </c>
      <c r="F22" s="288">
        <v>26</v>
      </c>
      <c r="G22" s="288">
        <v>71</v>
      </c>
      <c r="H22" s="288">
        <v>90</v>
      </c>
      <c r="I22" s="288">
        <v>191</v>
      </c>
      <c r="J22" s="288">
        <v>177</v>
      </c>
      <c r="K22" s="288">
        <v>230</v>
      </c>
      <c r="L22" s="288">
        <v>227</v>
      </c>
      <c r="M22" s="288">
        <v>121</v>
      </c>
      <c r="N22" s="674">
        <f t="shared" si="0"/>
        <v>1155</v>
      </c>
      <c r="O22" s="676">
        <f t="shared" si="1"/>
        <v>6.1951222128654717E-3</v>
      </c>
      <c r="R22" s="1221"/>
    </row>
    <row r="23" spans="1:18" s="77" customFormat="1" ht="18.75" customHeight="1">
      <c r="A23" s="670" t="s">
        <v>305</v>
      </c>
      <c r="B23" s="288">
        <v>0</v>
      </c>
      <c r="C23" s="288">
        <v>0</v>
      </c>
      <c r="D23" s="288">
        <v>0</v>
      </c>
      <c r="E23" s="288">
        <v>67</v>
      </c>
      <c r="F23" s="288">
        <v>40</v>
      </c>
      <c r="G23" s="288">
        <v>69</v>
      </c>
      <c r="H23" s="288">
        <v>67</v>
      </c>
      <c r="I23" s="288">
        <v>110</v>
      </c>
      <c r="J23" s="288">
        <v>161</v>
      </c>
      <c r="K23" s="288">
        <v>200</v>
      </c>
      <c r="L23" s="288">
        <v>223</v>
      </c>
      <c r="M23" s="288">
        <v>115</v>
      </c>
      <c r="N23" s="674">
        <f t="shared" si="0"/>
        <v>1052</v>
      </c>
      <c r="O23" s="676">
        <f t="shared" si="1"/>
        <v>5.6426567687744384E-3</v>
      </c>
      <c r="R23" s="1221"/>
    </row>
    <row r="24" spans="1:18" s="77" customFormat="1" ht="18.75" customHeight="1">
      <c r="A24" s="670" t="s">
        <v>312</v>
      </c>
      <c r="B24" s="288">
        <v>0</v>
      </c>
      <c r="C24" s="288">
        <v>0</v>
      </c>
      <c r="D24" s="288">
        <v>2</v>
      </c>
      <c r="E24" s="288">
        <v>29</v>
      </c>
      <c r="F24" s="288">
        <v>19</v>
      </c>
      <c r="G24" s="288">
        <v>63</v>
      </c>
      <c r="H24" s="288">
        <v>110</v>
      </c>
      <c r="I24" s="288">
        <v>126</v>
      </c>
      <c r="J24" s="288">
        <v>156</v>
      </c>
      <c r="K24" s="288">
        <v>132</v>
      </c>
      <c r="L24" s="288">
        <v>173</v>
      </c>
      <c r="M24" s="288">
        <v>106</v>
      </c>
      <c r="N24" s="674">
        <f t="shared" si="0"/>
        <v>916</v>
      </c>
      <c r="O24" s="676">
        <f t="shared" si="1"/>
        <v>4.913187832887249E-3</v>
      </c>
      <c r="R24" s="1221"/>
    </row>
    <row r="25" spans="1:18" s="77" customFormat="1" ht="18.75" customHeight="1">
      <c r="A25" s="670" t="s">
        <v>293</v>
      </c>
      <c r="B25" s="288">
        <v>0</v>
      </c>
      <c r="C25" s="288">
        <v>0</v>
      </c>
      <c r="D25" s="288">
        <v>0</v>
      </c>
      <c r="E25" s="288">
        <v>17</v>
      </c>
      <c r="F25" s="288">
        <v>12</v>
      </c>
      <c r="G25" s="288">
        <v>6</v>
      </c>
      <c r="H25" s="288">
        <v>33</v>
      </c>
      <c r="I25" s="288">
        <v>106</v>
      </c>
      <c r="J25" s="288">
        <v>152</v>
      </c>
      <c r="K25" s="288">
        <v>150</v>
      </c>
      <c r="L25" s="288">
        <v>127</v>
      </c>
      <c r="M25" s="288">
        <v>101</v>
      </c>
      <c r="N25" s="674">
        <f t="shared" si="0"/>
        <v>704</v>
      </c>
      <c r="O25" s="676">
        <f t="shared" si="1"/>
        <v>3.7760744916513355E-3</v>
      </c>
      <c r="R25" s="1221"/>
    </row>
    <row r="26" spans="1:18" s="77" customFormat="1" ht="18.75" customHeight="1">
      <c r="A26" s="670" t="s">
        <v>286</v>
      </c>
      <c r="B26" s="288">
        <v>0</v>
      </c>
      <c r="C26" s="288">
        <v>0</v>
      </c>
      <c r="D26" s="288">
        <v>1</v>
      </c>
      <c r="E26" s="288">
        <v>18</v>
      </c>
      <c r="F26" s="288">
        <v>26</v>
      </c>
      <c r="G26" s="288">
        <v>63</v>
      </c>
      <c r="H26" s="288">
        <v>84</v>
      </c>
      <c r="I26" s="288">
        <v>122</v>
      </c>
      <c r="J26" s="288">
        <v>134</v>
      </c>
      <c r="K26" s="288">
        <v>149</v>
      </c>
      <c r="L26" s="288">
        <v>131</v>
      </c>
      <c r="M26" s="288">
        <v>96</v>
      </c>
      <c r="N26" s="674">
        <f t="shared" si="0"/>
        <v>824</v>
      </c>
      <c r="O26" s="676">
        <f t="shared" si="1"/>
        <v>4.4197235527282672E-3</v>
      </c>
      <c r="R26" s="1221"/>
    </row>
    <row r="27" spans="1:18" s="77" customFormat="1" ht="18.75" customHeight="1">
      <c r="A27" s="670" t="s">
        <v>294</v>
      </c>
      <c r="B27" s="288">
        <v>0</v>
      </c>
      <c r="C27" s="288">
        <v>0</v>
      </c>
      <c r="D27" s="288">
        <v>0</v>
      </c>
      <c r="E27" s="288">
        <v>2</v>
      </c>
      <c r="F27" s="288">
        <v>9</v>
      </c>
      <c r="G27" s="288">
        <v>19</v>
      </c>
      <c r="H27" s="288">
        <v>33</v>
      </c>
      <c r="I27" s="288">
        <v>83</v>
      </c>
      <c r="J27" s="288">
        <v>128</v>
      </c>
      <c r="K27" s="288">
        <v>180</v>
      </c>
      <c r="L27" s="288">
        <v>177</v>
      </c>
      <c r="M27" s="288">
        <v>92</v>
      </c>
      <c r="N27" s="674">
        <f t="shared" si="0"/>
        <v>723</v>
      </c>
      <c r="O27" s="676">
        <f t="shared" si="1"/>
        <v>3.8779855929885164E-3</v>
      </c>
      <c r="R27" s="1221"/>
    </row>
    <row r="28" spans="1:18" s="77" customFormat="1" ht="18.75" customHeight="1">
      <c r="A28" s="670" t="s">
        <v>310</v>
      </c>
      <c r="B28" s="288">
        <v>0</v>
      </c>
      <c r="C28" s="288">
        <v>0</v>
      </c>
      <c r="D28" s="288">
        <v>0</v>
      </c>
      <c r="E28" s="288">
        <v>32</v>
      </c>
      <c r="F28" s="288">
        <v>44</v>
      </c>
      <c r="G28" s="288">
        <v>91</v>
      </c>
      <c r="H28" s="288">
        <v>158</v>
      </c>
      <c r="I28" s="288">
        <v>245</v>
      </c>
      <c r="J28" s="288">
        <v>293</v>
      </c>
      <c r="K28" s="288">
        <v>348</v>
      </c>
      <c r="L28" s="288">
        <v>309</v>
      </c>
      <c r="M28" s="288">
        <v>84</v>
      </c>
      <c r="N28" s="674">
        <f t="shared" si="0"/>
        <v>1604</v>
      </c>
      <c r="O28" s="676">
        <f t="shared" si="1"/>
        <v>8.6034424497283268E-3</v>
      </c>
      <c r="R28" s="1221"/>
    </row>
    <row r="29" spans="1:18" s="77" customFormat="1" ht="18.75" customHeight="1">
      <c r="A29" s="670" t="s">
        <v>304</v>
      </c>
      <c r="B29" s="288">
        <v>0</v>
      </c>
      <c r="C29" s="288">
        <v>0</v>
      </c>
      <c r="D29" s="288">
        <v>0</v>
      </c>
      <c r="E29" s="288">
        <v>3</v>
      </c>
      <c r="F29" s="288">
        <v>2</v>
      </c>
      <c r="G29" s="288">
        <v>13</v>
      </c>
      <c r="H29" s="288">
        <v>29</v>
      </c>
      <c r="I29" s="288">
        <v>36</v>
      </c>
      <c r="J29" s="288">
        <v>51</v>
      </c>
      <c r="K29" s="288">
        <v>44</v>
      </c>
      <c r="L29" s="288">
        <v>73</v>
      </c>
      <c r="M29" s="288">
        <v>78</v>
      </c>
      <c r="N29" s="674">
        <f t="shared" si="0"/>
        <v>329</v>
      </c>
      <c r="O29" s="676">
        <f t="shared" si="1"/>
        <v>1.7646711757859223E-3</v>
      </c>
      <c r="R29" s="1221"/>
    </row>
    <row r="30" spans="1:18" s="77" customFormat="1" ht="18.75" customHeight="1">
      <c r="A30" s="670" t="s">
        <v>309</v>
      </c>
      <c r="B30" s="288">
        <v>0</v>
      </c>
      <c r="C30" s="288">
        <v>0</v>
      </c>
      <c r="D30" s="288">
        <v>0</v>
      </c>
      <c r="E30" s="288">
        <v>3</v>
      </c>
      <c r="F30" s="288">
        <v>1</v>
      </c>
      <c r="G30" s="288">
        <v>38</v>
      </c>
      <c r="H30" s="288">
        <v>52</v>
      </c>
      <c r="I30" s="288">
        <v>89</v>
      </c>
      <c r="J30" s="288">
        <v>103</v>
      </c>
      <c r="K30" s="288">
        <v>157</v>
      </c>
      <c r="L30" s="288">
        <v>134</v>
      </c>
      <c r="M30" s="288">
        <v>71</v>
      </c>
      <c r="N30" s="674">
        <f t="shared" si="0"/>
        <v>648</v>
      </c>
      <c r="O30" s="676">
        <f t="shared" si="1"/>
        <v>3.4757049298154334E-3</v>
      </c>
      <c r="R30" s="1221"/>
    </row>
    <row r="31" spans="1:18" s="77" customFormat="1" ht="18.75" customHeight="1">
      <c r="A31" s="670" t="s">
        <v>311</v>
      </c>
      <c r="B31" s="288">
        <v>0</v>
      </c>
      <c r="C31" s="288">
        <v>0</v>
      </c>
      <c r="D31" s="288">
        <v>0</v>
      </c>
      <c r="E31" s="288">
        <v>2</v>
      </c>
      <c r="F31" s="288">
        <v>4</v>
      </c>
      <c r="G31" s="288">
        <v>8</v>
      </c>
      <c r="H31" s="288">
        <v>9</v>
      </c>
      <c r="I31" s="288">
        <v>24</v>
      </c>
      <c r="J31" s="288">
        <v>50</v>
      </c>
      <c r="K31" s="288">
        <v>53</v>
      </c>
      <c r="L31" s="288">
        <v>93</v>
      </c>
      <c r="M31" s="288">
        <v>51</v>
      </c>
      <c r="N31" s="674">
        <f t="shared" si="0"/>
        <v>294</v>
      </c>
      <c r="O31" s="676">
        <f t="shared" si="1"/>
        <v>1.5769401996384837E-3</v>
      </c>
      <c r="R31" s="1221"/>
    </row>
    <row r="32" spans="1:18" s="77" customFormat="1" ht="18.75" customHeight="1">
      <c r="A32" s="670" t="s">
        <v>426</v>
      </c>
      <c r="B32" s="288">
        <v>0</v>
      </c>
      <c r="C32" s="288">
        <v>0</v>
      </c>
      <c r="D32" s="288">
        <v>0</v>
      </c>
      <c r="E32" s="288">
        <v>0</v>
      </c>
      <c r="F32" s="288">
        <v>8</v>
      </c>
      <c r="G32" s="288">
        <v>12</v>
      </c>
      <c r="H32" s="288">
        <v>12</v>
      </c>
      <c r="I32" s="288">
        <v>47</v>
      </c>
      <c r="J32" s="288">
        <v>85</v>
      </c>
      <c r="K32" s="288">
        <v>84</v>
      </c>
      <c r="L32" s="288">
        <v>104</v>
      </c>
      <c r="M32" s="288">
        <v>47</v>
      </c>
      <c r="N32" s="674">
        <f t="shared" si="0"/>
        <v>399</v>
      </c>
      <c r="O32" s="676">
        <f t="shared" si="1"/>
        <v>2.1401331280807992E-3</v>
      </c>
      <c r="R32" s="1221"/>
    </row>
    <row r="33" spans="1:18" s="77" customFormat="1" ht="18.75" customHeight="1">
      <c r="A33" s="670" t="s">
        <v>307</v>
      </c>
      <c r="B33" s="288">
        <v>0</v>
      </c>
      <c r="C33" s="288">
        <v>0</v>
      </c>
      <c r="D33" s="288">
        <v>0</v>
      </c>
      <c r="E33" s="288">
        <v>13</v>
      </c>
      <c r="F33" s="288">
        <v>15</v>
      </c>
      <c r="G33" s="288">
        <v>14</v>
      </c>
      <c r="H33" s="288">
        <v>12</v>
      </c>
      <c r="I33" s="288">
        <v>29</v>
      </c>
      <c r="J33" s="288">
        <v>40</v>
      </c>
      <c r="K33" s="288">
        <v>35</v>
      </c>
      <c r="L33" s="288">
        <v>54</v>
      </c>
      <c r="M33" s="288">
        <v>25</v>
      </c>
      <c r="N33" s="674">
        <f t="shared" si="0"/>
        <v>237</v>
      </c>
      <c r="O33" s="676">
        <f t="shared" si="1"/>
        <v>1.2712068956269411E-3</v>
      </c>
      <c r="R33" s="1221"/>
    </row>
    <row r="34" spans="1:18" s="77" customFormat="1" ht="18.75" customHeight="1">
      <c r="A34" s="670" t="s">
        <v>297</v>
      </c>
      <c r="B34" s="288">
        <v>0</v>
      </c>
      <c r="C34" s="288">
        <v>1</v>
      </c>
      <c r="D34" s="288">
        <v>1</v>
      </c>
      <c r="E34" s="288">
        <v>17</v>
      </c>
      <c r="F34" s="288">
        <v>11</v>
      </c>
      <c r="G34" s="288">
        <v>16</v>
      </c>
      <c r="H34" s="288">
        <v>43</v>
      </c>
      <c r="I34" s="288">
        <v>166</v>
      </c>
      <c r="J34" s="288">
        <v>141</v>
      </c>
      <c r="K34" s="288">
        <v>139</v>
      </c>
      <c r="L34" s="288">
        <v>152</v>
      </c>
      <c r="M34" s="288">
        <v>24</v>
      </c>
      <c r="N34" s="674">
        <f t="shared" si="0"/>
        <v>711</v>
      </c>
      <c r="O34" s="676">
        <f t="shared" si="1"/>
        <v>3.8136206868808228E-3</v>
      </c>
      <c r="R34" s="1221"/>
    </row>
    <row r="35" spans="1:18" s="1169" customFormat="1" ht="18.75" customHeight="1">
      <c r="A35" s="670" t="s">
        <v>291</v>
      </c>
      <c r="B35" s="288">
        <v>0</v>
      </c>
      <c r="C35" s="288">
        <v>0</v>
      </c>
      <c r="D35" s="288">
        <v>0</v>
      </c>
      <c r="E35" s="288">
        <v>4</v>
      </c>
      <c r="F35" s="288">
        <v>1</v>
      </c>
      <c r="G35" s="288">
        <v>0</v>
      </c>
      <c r="H35" s="288">
        <v>1</v>
      </c>
      <c r="I35" s="288">
        <v>2</v>
      </c>
      <c r="J35" s="288">
        <v>1</v>
      </c>
      <c r="K35" s="288">
        <v>0</v>
      </c>
      <c r="L35" s="288">
        <v>2</v>
      </c>
      <c r="M35" s="288">
        <v>1</v>
      </c>
      <c r="N35" s="674">
        <f t="shared" si="0"/>
        <v>12</v>
      </c>
      <c r="O35" s="676">
        <f t="shared" si="1"/>
        <v>6.4364906107693213E-5</v>
      </c>
      <c r="R35" s="1251"/>
    </row>
    <row r="36" spans="1:18" s="1169" customFormat="1">
      <c r="A36" s="664" t="s">
        <v>23</v>
      </c>
      <c r="B36" s="672">
        <f>SUM(B5:B35)</f>
        <v>4</v>
      </c>
      <c r="C36" s="672">
        <f t="shared" ref="C36:N36" si="2">SUM(C4:C35)</f>
        <v>3731</v>
      </c>
      <c r="D36" s="672">
        <f t="shared" si="2"/>
        <v>5535</v>
      </c>
      <c r="E36" s="672">
        <f t="shared" si="2"/>
        <v>8544</v>
      </c>
      <c r="F36" s="672">
        <f t="shared" si="2"/>
        <v>10977</v>
      </c>
      <c r="G36" s="672">
        <f t="shared" si="2"/>
        <v>14683</v>
      </c>
      <c r="H36" s="672">
        <f t="shared" si="2"/>
        <v>17456</v>
      </c>
      <c r="I36" s="672">
        <f t="shared" si="2"/>
        <v>22597</v>
      </c>
      <c r="J36" s="672">
        <f t="shared" si="2"/>
        <v>26688</v>
      </c>
      <c r="K36" s="672">
        <f t="shared" si="2"/>
        <v>28635</v>
      </c>
      <c r="L36" s="672">
        <f t="shared" si="2"/>
        <v>31032</v>
      </c>
      <c r="M36" s="672">
        <f t="shared" si="2"/>
        <v>16559</v>
      </c>
      <c r="N36" s="675">
        <f t="shared" si="2"/>
        <v>186437</v>
      </c>
      <c r="O36" s="665">
        <f>SUM(O5:O35)</f>
        <v>0.66001383845481321</v>
      </c>
      <c r="Q36" s="77"/>
      <c r="R36" s="1221"/>
    </row>
    <row r="37" spans="1:18" s="77" customFormat="1">
      <c r="R37" s="1221"/>
    </row>
    <row r="38" spans="1:18" s="77" customFormat="1">
      <c r="P38" s="1169"/>
      <c r="Q38" s="1169"/>
      <c r="R38" s="1251"/>
    </row>
    <row r="39" spans="1:18" s="77" customFormat="1" ht="21" customHeight="1">
      <c r="R39" s="1221"/>
    </row>
    <row r="40" spans="1:18" s="77" customFormat="1">
      <c r="R40" s="1221"/>
    </row>
    <row r="41" spans="1:18" s="77" customFormat="1">
      <c r="R41" s="1221"/>
    </row>
    <row r="42" spans="1:18" s="77" customFormat="1" ht="21" customHeight="1">
      <c r="R42" s="1221"/>
    </row>
    <row r="43" spans="1:18" s="77" customFormat="1">
      <c r="R43" s="1221"/>
    </row>
    <row r="44" spans="1:18" s="77" customFormat="1">
      <c r="R44" s="1221"/>
    </row>
    <row r="45" spans="1:18" s="77" customFormat="1" ht="21" customHeight="1">
      <c r="R45" s="1221"/>
    </row>
    <row r="46" spans="1:18" s="77" customFormat="1" ht="31.5" customHeight="1">
      <c r="R46" s="1221"/>
    </row>
    <row r="47" spans="1:18" s="77" customFormat="1">
      <c r="R47" s="1221"/>
    </row>
    <row r="48" spans="1:18" ht="21" customHeight="1">
      <c r="P48" s="77"/>
      <c r="Q48" s="77"/>
      <c r="R48" s="1221"/>
    </row>
    <row r="49" spans="16:18">
      <c r="P49" s="77"/>
      <c r="Q49" s="77"/>
      <c r="R49" s="1221"/>
    </row>
  </sheetData>
  <sortState ref="A4:O35">
    <sortCondition descending="1" ref="M4:M35"/>
  </sortState>
  <mergeCells count="1">
    <mergeCell ref="A1:Q1"/>
  </mergeCells>
  <printOptions horizontalCentered="1"/>
  <pageMargins left="0.39370078740157483" right="0.39370078740157483" top="0.23622047244094491" bottom="0.23622047244094491" header="0.31496062992125984" footer="0.31496062992125984"/>
  <pageSetup scale="48" orientation="landscape" r:id="rId1"/>
  <rowBreaks count="1" manualBreakCount="1">
    <brk id="18"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L27"/>
  <sheetViews>
    <sheetView showGridLines="0" view="pageBreakPreview" zoomScale="70" zoomScaleNormal="100" zoomScaleSheetLayoutView="70" workbookViewId="0">
      <selection activeCell="G14" sqref="G14"/>
    </sheetView>
  </sheetViews>
  <sheetFormatPr baseColWidth="10" defaultColWidth="11.42578125" defaultRowHeight="15"/>
  <cols>
    <col min="1" max="1" width="16.42578125" style="39" customWidth="1"/>
    <col min="2" max="2" width="11" style="39" customWidth="1"/>
    <col min="3" max="3" width="10.85546875" style="39" customWidth="1"/>
    <col min="4" max="4" width="13.85546875" style="39" customWidth="1"/>
    <col min="5" max="5" width="11.5703125" style="39" customWidth="1"/>
    <col min="6" max="6" width="10.85546875" style="39" customWidth="1"/>
    <col min="7" max="7" width="12.28515625" style="39" customWidth="1"/>
    <col min="8" max="8" width="13.5703125" style="39" customWidth="1"/>
    <col min="9" max="9" width="20.28515625" style="39" customWidth="1"/>
    <col min="10" max="10" width="21.42578125" style="39" customWidth="1"/>
    <col min="11" max="11" width="16.7109375" style="39" customWidth="1"/>
    <col min="12" max="12" width="18.42578125" style="39" customWidth="1"/>
    <col min="13" max="16384" width="11.42578125" style="39"/>
  </cols>
  <sheetData>
    <row r="1" spans="1:12" s="77" customFormat="1" ht="69" customHeight="1">
      <c r="A1" s="1988"/>
      <c r="B1" s="1988"/>
      <c r="C1" s="1988"/>
      <c r="D1" s="1988"/>
      <c r="E1" s="1988"/>
      <c r="F1" s="1988"/>
      <c r="G1" s="1988"/>
      <c r="H1" s="1988"/>
      <c r="I1" s="1988"/>
      <c r="J1" s="1988"/>
      <c r="K1" s="1988"/>
      <c r="L1" s="1988"/>
    </row>
    <row r="2" spans="1:12" s="77" customFormat="1" ht="12" customHeight="1">
      <c r="A2" s="141"/>
      <c r="B2" s="141"/>
      <c r="C2" s="141"/>
      <c r="D2" s="141"/>
      <c r="E2" s="141"/>
      <c r="F2" s="141"/>
      <c r="G2" s="141"/>
      <c r="H2" s="141"/>
      <c r="I2" s="141"/>
      <c r="J2" s="141"/>
      <c r="K2" s="141"/>
      <c r="L2" s="141"/>
    </row>
    <row r="3" spans="1:12" s="141" customFormat="1" ht="34.5" customHeight="1">
      <c r="A3" s="756" t="s">
        <v>0</v>
      </c>
      <c r="B3" s="754" t="s">
        <v>320</v>
      </c>
      <c r="C3" s="754" t="s">
        <v>319</v>
      </c>
      <c r="D3" s="754" t="s">
        <v>318</v>
      </c>
      <c r="E3" s="754" t="s">
        <v>143</v>
      </c>
      <c r="F3" s="754" t="s">
        <v>317</v>
      </c>
      <c r="G3" s="754" t="s">
        <v>316</v>
      </c>
      <c r="H3" s="755" t="s">
        <v>315</v>
      </c>
    </row>
    <row r="4" spans="1:12" s="77" customFormat="1" ht="15.75">
      <c r="A4" s="757">
        <v>2005</v>
      </c>
      <c r="B4" s="712">
        <v>215</v>
      </c>
      <c r="C4" s="712">
        <v>3135</v>
      </c>
      <c r="D4" s="712">
        <v>381</v>
      </c>
      <c r="E4" s="752">
        <f t="shared" ref="E4:E10" si="0">SUM(B4:D4)</f>
        <v>3731</v>
      </c>
      <c r="F4" s="753">
        <f t="shared" ref="F4:F15" si="1">B4/E4</f>
        <v>5.7625301527740549E-2</v>
      </c>
      <c r="G4" s="753">
        <f t="shared" ref="G4:G15" si="2">C4/E4</f>
        <v>0.84025730367193785</v>
      </c>
      <c r="H4" s="758">
        <f t="shared" ref="H4:H15" si="3">D4/E4</f>
        <v>0.10211739480032163</v>
      </c>
    </row>
    <row r="5" spans="1:12" s="77" customFormat="1" ht="15.75">
      <c r="A5" s="757" t="s">
        <v>261</v>
      </c>
      <c r="B5" s="712">
        <v>530</v>
      </c>
      <c r="C5" s="712">
        <v>4514</v>
      </c>
      <c r="D5" s="712">
        <v>491</v>
      </c>
      <c r="E5" s="752">
        <f t="shared" si="0"/>
        <v>5535</v>
      </c>
      <c r="F5" s="753">
        <f t="shared" si="1"/>
        <v>9.5754290876242099E-2</v>
      </c>
      <c r="G5" s="753">
        <f t="shared" si="2"/>
        <v>0.8155374887082204</v>
      </c>
      <c r="H5" s="758">
        <f t="shared" si="3"/>
        <v>8.8708220415537484E-2</v>
      </c>
    </row>
    <row r="6" spans="1:12" s="77" customFormat="1" ht="15.75">
      <c r="A6" s="757" t="s">
        <v>177</v>
      </c>
      <c r="B6" s="712">
        <v>973</v>
      </c>
      <c r="C6" s="712">
        <v>7357</v>
      </c>
      <c r="D6" s="712">
        <v>214</v>
      </c>
      <c r="E6" s="752">
        <f t="shared" si="0"/>
        <v>8544</v>
      </c>
      <c r="F6" s="753">
        <f t="shared" si="1"/>
        <v>0.11388108614232209</v>
      </c>
      <c r="G6" s="753">
        <f t="shared" si="2"/>
        <v>0.86107209737827717</v>
      </c>
      <c r="H6" s="758">
        <f t="shared" si="3"/>
        <v>2.5046816479400748E-2</v>
      </c>
    </row>
    <row r="7" spans="1:12" s="77" customFormat="1" ht="15.75">
      <c r="A7" s="757" t="s">
        <v>232</v>
      </c>
      <c r="B7" s="712">
        <v>1313</v>
      </c>
      <c r="C7" s="712">
        <v>9407</v>
      </c>
      <c r="D7" s="712">
        <v>257</v>
      </c>
      <c r="E7" s="752">
        <f t="shared" si="0"/>
        <v>10977</v>
      </c>
      <c r="F7" s="753">
        <f t="shared" si="1"/>
        <v>0.11961373781543226</v>
      </c>
      <c r="G7" s="753">
        <f t="shared" si="2"/>
        <v>0.85697367222374055</v>
      </c>
      <c r="H7" s="758">
        <f t="shared" si="3"/>
        <v>2.3412589960827183E-2</v>
      </c>
    </row>
    <row r="8" spans="1:12" s="77" customFormat="1" ht="15.75">
      <c r="A8" s="757" t="s">
        <v>233</v>
      </c>
      <c r="B8" s="712">
        <v>1953</v>
      </c>
      <c r="C8" s="712">
        <v>12523</v>
      </c>
      <c r="D8" s="712">
        <v>207</v>
      </c>
      <c r="E8" s="752">
        <f t="shared" si="0"/>
        <v>14683</v>
      </c>
      <c r="F8" s="753">
        <f t="shared" si="1"/>
        <v>0.1330109650616359</v>
      </c>
      <c r="G8" s="753">
        <f t="shared" si="2"/>
        <v>0.85289109854934275</v>
      </c>
      <c r="H8" s="758">
        <f t="shared" si="3"/>
        <v>1.4097936389021317E-2</v>
      </c>
    </row>
    <row r="9" spans="1:12" s="77" customFormat="1" ht="15.75">
      <c r="A9" s="757" t="s">
        <v>196</v>
      </c>
      <c r="B9" s="712">
        <v>2519</v>
      </c>
      <c r="C9" s="712">
        <v>14493</v>
      </c>
      <c r="D9" s="712">
        <v>444</v>
      </c>
      <c r="E9" s="752">
        <f t="shared" si="0"/>
        <v>17456</v>
      </c>
      <c r="F9" s="753">
        <f t="shared" si="1"/>
        <v>0.1443056828597617</v>
      </c>
      <c r="G9" s="753">
        <f t="shared" si="2"/>
        <v>0.8302589367552704</v>
      </c>
      <c r="H9" s="758">
        <f t="shared" si="3"/>
        <v>2.5435380384967919E-2</v>
      </c>
    </row>
    <row r="10" spans="1:12" s="77" customFormat="1" ht="15.75">
      <c r="A10" s="757" t="s">
        <v>234</v>
      </c>
      <c r="B10" s="712">
        <v>3191</v>
      </c>
      <c r="C10" s="712">
        <v>18636</v>
      </c>
      <c r="D10" s="712">
        <v>770</v>
      </c>
      <c r="E10" s="752">
        <f t="shared" si="0"/>
        <v>22597</v>
      </c>
      <c r="F10" s="753">
        <f t="shared" si="1"/>
        <v>0.14121343541178033</v>
      </c>
      <c r="G10" s="753">
        <f t="shared" si="2"/>
        <v>0.82471124485551184</v>
      </c>
      <c r="H10" s="758">
        <f t="shared" si="3"/>
        <v>3.407531973270788E-2</v>
      </c>
    </row>
    <row r="11" spans="1:12" s="77" customFormat="1" ht="15.75">
      <c r="A11" s="757" t="s">
        <v>485</v>
      </c>
      <c r="B11" s="712">
        <v>3646</v>
      </c>
      <c r="C11" s="712">
        <v>23042</v>
      </c>
      <c r="D11" s="712">
        <v>0</v>
      </c>
      <c r="E11" s="752">
        <f>SUM(B11:D11)</f>
        <v>26688</v>
      </c>
      <c r="F11" s="753">
        <f>B11/E11</f>
        <v>0.13661570743405277</v>
      </c>
      <c r="G11" s="753">
        <f>C11/E11</f>
        <v>0.86338429256594729</v>
      </c>
      <c r="H11" s="758">
        <f>D11/E11</f>
        <v>0</v>
      </c>
    </row>
    <row r="12" spans="1:12" s="77" customFormat="1" ht="15.75">
      <c r="A12" s="757" t="s">
        <v>573</v>
      </c>
      <c r="B12" s="712">
        <v>4605</v>
      </c>
      <c r="C12" s="712">
        <v>24027</v>
      </c>
      <c r="D12" s="712">
        <v>3</v>
      </c>
      <c r="E12" s="752">
        <f>SUM(B12:D12)</f>
        <v>28635</v>
      </c>
      <c r="F12" s="753">
        <f>B12/E12</f>
        <v>0.16081718177056051</v>
      </c>
      <c r="G12" s="753">
        <f>C12/E12</f>
        <v>0.83907805133577784</v>
      </c>
      <c r="H12" s="758">
        <f>D12/E12</f>
        <v>1.0476689366160294E-4</v>
      </c>
    </row>
    <row r="13" spans="1:12" s="77" customFormat="1" ht="15.75">
      <c r="A13" s="757" t="s">
        <v>581</v>
      </c>
      <c r="B13" s="712">
        <v>4791</v>
      </c>
      <c r="C13" s="712">
        <v>26240</v>
      </c>
      <c r="D13" s="712">
        <v>1</v>
      </c>
      <c r="E13" s="752">
        <f>SUM(B13:D13)</f>
        <v>31032</v>
      </c>
      <c r="F13" s="753">
        <f>B13/E13</f>
        <v>0.15438901778808972</v>
      </c>
      <c r="G13" s="753">
        <f>C13/E13</f>
        <v>0.84557875741170407</v>
      </c>
      <c r="H13" s="758">
        <f>D13/E13</f>
        <v>3.2224800206238723E-5</v>
      </c>
    </row>
    <row r="14" spans="1:12" s="77" customFormat="1" ht="15.75">
      <c r="A14" s="757" t="s">
        <v>973</v>
      </c>
      <c r="B14" s="712">
        <f>338+387+473+428+487+428</f>
        <v>2541</v>
      </c>
      <c r="C14" s="712">
        <f>1910+2203+2664+2351+2392+2497</f>
        <v>14017</v>
      </c>
      <c r="D14" s="712">
        <v>1</v>
      </c>
      <c r="E14" s="752">
        <f>SUM(B14:D14)</f>
        <v>16559</v>
      </c>
      <c r="F14" s="753">
        <f>B14/E14</f>
        <v>0.15345129536807778</v>
      </c>
      <c r="G14" s="753">
        <f>C14/E14</f>
        <v>0.84648831451174589</v>
      </c>
      <c r="H14" s="758">
        <f>D14/E14</f>
        <v>6.0390120176339152E-5</v>
      </c>
    </row>
    <row r="15" spans="1:12" s="77" customFormat="1" ht="15.75">
      <c r="A15" s="700" t="s">
        <v>23</v>
      </c>
      <c r="B15" s="759">
        <f>SUM(B4:B14)</f>
        <v>26277</v>
      </c>
      <c r="C15" s="759">
        <f>SUM(C4:C14)</f>
        <v>157391</v>
      </c>
      <c r="D15" s="759">
        <f>SUM(D4:D14)</f>
        <v>2769</v>
      </c>
      <c r="E15" s="759">
        <f>SUM(E4:E14)</f>
        <v>186437</v>
      </c>
      <c r="F15" s="760">
        <f t="shared" si="1"/>
        <v>0.14094305314932121</v>
      </c>
      <c r="G15" s="760">
        <f t="shared" si="2"/>
        <v>0.84420474476632856</v>
      </c>
      <c r="H15" s="761">
        <f t="shared" si="3"/>
        <v>1.4852202084350209E-2</v>
      </c>
    </row>
    <row r="16" spans="1:12" s="77" customFormat="1">
      <c r="A16" s="150"/>
      <c r="B16" s="149"/>
      <c r="C16" s="149"/>
      <c r="D16" s="149"/>
      <c r="L16" s="39"/>
    </row>
    <row r="17" spans="1:12" s="77" customFormat="1">
      <c r="A17" s="150"/>
      <c r="B17" s="149"/>
      <c r="C17" s="149"/>
      <c r="D17" s="149"/>
      <c r="L17" s="39"/>
    </row>
    <row r="18" spans="1:12" s="77" customFormat="1">
      <c r="A18" s="150"/>
      <c r="B18" s="149"/>
      <c r="C18" s="149"/>
      <c r="D18" s="149"/>
    </row>
    <row r="19" spans="1:12" s="77" customFormat="1">
      <c r="A19" s="150"/>
      <c r="B19" s="149"/>
      <c r="C19" s="149"/>
      <c r="D19" s="149"/>
    </row>
    <row r="20" spans="1:12" s="77" customFormat="1"/>
    <row r="21" spans="1:12" s="77" customFormat="1"/>
    <row r="22" spans="1:12" s="77" customFormat="1"/>
    <row r="23" spans="1:12" s="77" customFormat="1"/>
    <row r="24" spans="1:12" s="77" customFormat="1"/>
    <row r="25" spans="1:12" s="77" customFormat="1"/>
    <row r="26" spans="1:12">
      <c r="A26" s="77"/>
      <c r="B26" s="77"/>
      <c r="C26" s="77"/>
      <c r="D26" s="77"/>
      <c r="E26" s="77"/>
      <c r="F26" s="77"/>
      <c r="G26" s="77"/>
      <c r="H26" s="77"/>
    </row>
    <row r="27" spans="1:12">
      <c r="L27" s="148"/>
    </row>
  </sheetData>
  <mergeCells count="1">
    <mergeCell ref="A1:L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7"/>
  <sheetViews>
    <sheetView showGridLines="0" view="pageBreakPreview" zoomScale="73" zoomScaleNormal="100" zoomScaleSheetLayoutView="73" workbookViewId="0">
      <selection activeCell="J10" sqref="J10"/>
    </sheetView>
  </sheetViews>
  <sheetFormatPr baseColWidth="10" defaultColWidth="11.42578125" defaultRowHeight="15"/>
  <cols>
    <col min="1" max="1" width="15.7109375"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0.28515625" style="39" customWidth="1"/>
    <col min="9" max="9" width="18.85546875" style="39" customWidth="1"/>
    <col min="10" max="10" width="21" style="39" customWidth="1"/>
    <col min="11" max="11" width="16.28515625" style="39" customWidth="1"/>
    <col min="12" max="12" width="18.85546875" style="39" customWidth="1"/>
    <col min="13" max="13" width="40.42578125" style="39" customWidth="1"/>
    <col min="14" max="16384" width="11.42578125" style="39"/>
  </cols>
  <sheetData>
    <row r="1" spans="1:13" s="77" customFormat="1" ht="70.5" customHeight="1">
      <c r="A1" s="1988"/>
      <c r="B1" s="1988"/>
      <c r="C1" s="1988"/>
      <c r="D1" s="1988"/>
      <c r="E1" s="1988"/>
      <c r="F1" s="1988"/>
      <c r="G1" s="1988"/>
      <c r="H1" s="1988"/>
      <c r="I1" s="1988"/>
      <c r="J1" s="1988"/>
      <c r="K1" s="1988"/>
      <c r="L1" s="1988"/>
    </row>
    <row r="2" spans="1:13" s="38" customFormat="1" ht="15.75" customHeight="1">
      <c r="A2" s="701"/>
      <c r="B2" s="185"/>
      <c r="C2" s="185"/>
      <c r="D2" s="185"/>
      <c r="E2" s="185"/>
      <c r="F2" s="185"/>
      <c r="G2" s="185"/>
      <c r="H2" s="185"/>
      <c r="I2" s="185"/>
      <c r="J2" s="185"/>
      <c r="K2" s="185"/>
      <c r="L2" s="185"/>
    </row>
    <row r="3" spans="1:13" s="77" customFormat="1" ht="31.5">
      <c r="A3" s="662" t="s">
        <v>0</v>
      </c>
      <c r="B3" s="681" t="s">
        <v>324</v>
      </c>
      <c r="C3" s="681" t="s">
        <v>323</v>
      </c>
      <c r="D3" s="681" t="s">
        <v>410</v>
      </c>
      <c r="E3" s="699" t="s">
        <v>143</v>
      </c>
      <c r="F3" s="681" t="s">
        <v>322</v>
      </c>
      <c r="G3" s="682" t="s">
        <v>321</v>
      </c>
    </row>
    <row r="4" spans="1:13" s="77" customFormat="1" ht="15.75">
      <c r="A4" s="683">
        <v>2005</v>
      </c>
      <c r="B4" s="1338">
        <v>90</v>
      </c>
      <c r="C4" s="1338">
        <v>3641</v>
      </c>
      <c r="D4" s="1338"/>
      <c r="E4" s="1573">
        <f t="shared" ref="E4:E10" si="0">SUM(B4:C4)</f>
        <v>3731</v>
      </c>
      <c r="F4" s="1575">
        <f t="shared" ref="F4:F11" si="1">B4/E4</f>
        <v>2.4122219244170465E-2</v>
      </c>
      <c r="G4" s="1576">
        <f t="shared" ref="G4:G11" si="2">C4/E4</f>
        <v>0.97587778075582954</v>
      </c>
    </row>
    <row r="5" spans="1:13" s="77" customFormat="1" ht="15.75">
      <c r="A5" s="683" t="s">
        <v>261</v>
      </c>
      <c r="B5" s="1338">
        <v>253</v>
      </c>
      <c r="C5" s="1338">
        <v>5282</v>
      </c>
      <c r="D5" s="1338"/>
      <c r="E5" s="1573">
        <f t="shared" si="0"/>
        <v>5535</v>
      </c>
      <c r="F5" s="1575">
        <f t="shared" si="1"/>
        <v>4.5709123757904244E-2</v>
      </c>
      <c r="G5" s="1576">
        <f t="shared" si="2"/>
        <v>0.95429087624209574</v>
      </c>
    </row>
    <row r="6" spans="1:13" s="77" customFormat="1" ht="15.75">
      <c r="A6" s="683" t="s">
        <v>177</v>
      </c>
      <c r="B6" s="1338">
        <v>445</v>
      </c>
      <c r="C6" s="1338">
        <v>8099</v>
      </c>
      <c r="D6" s="1338"/>
      <c r="E6" s="1573">
        <f t="shared" si="0"/>
        <v>8544</v>
      </c>
      <c r="F6" s="1575">
        <f t="shared" si="1"/>
        <v>5.2083333333333336E-2</v>
      </c>
      <c r="G6" s="1576">
        <f t="shared" si="2"/>
        <v>0.94791666666666663</v>
      </c>
    </row>
    <row r="7" spans="1:13" s="77" customFormat="1" ht="15.75">
      <c r="A7" s="683" t="s">
        <v>232</v>
      </c>
      <c r="B7" s="1338">
        <v>660</v>
      </c>
      <c r="C7" s="1338">
        <v>10317</v>
      </c>
      <c r="D7" s="1338"/>
      <c r="E7" s="1573">
        <f t="shared" si="0"/>
        <v>10977</v>
      </c>
      <c r="F7" s="1575">
        <f t="shared" si="1"/>
        <v>6.0125717409128178E-2</v>
      </c>
      <c r="G7" s="1576">
        <f t="shared" si="2"/>
        <v>0.9398742825908718</v>
      </c>
    </row>
    <row r="8" spans="1:13" s="77" customFormat="1" ht="15.75">
      <c r="A8" s="683" t="s">
        <v>233</v>
      </c>
      <c r="B8" s="1338">
        <v>986</v>
      </c>
      <c r="C8" s="1338">
        <v>13697</v>
      </c>
      <c r="D8" s="1338"/>
      <c r="E8" s="1573">
        <f t="shared" si="0"/>
        <v>14683</v>
      </c>
      <c r="F8" s="1575">
        <f t="shared" si="1"/>
        <v>6.7152489273309274E-2</v>
      </c>
      <c r="G8" s="1576">
        <f t="shared" si="2"/>
        <v>0.9328475107266907</v>
      </c>
    </row>
    <row r="9" spans="1:13" s="77" customFormat="1" ht="15.75">
      <c r="A9" s="683" t="s">
        <v>196</v>
      </c>
      <c r="B9" s="1338">
        <v>1477</v>
      </c>
      <c r="C9" s="1338">
        <v>15979</v>
      </c>
      <c r="D9" s="1338"/>
      <c r="E9" s="1573">
        <f t="shared" si="0"/>
        <v>17456</v>
      </c>
      <c r="F9" s="1575">
        <f t="shared" si="1"/>
        <v>8.4612740604949582E-2</v>
      </c>
      <c r="G9" s="1576">
        <f t="shared" si="2"/>
        <v>0.91538725939505039</v>
      </c>
      <c r="M9" s="39"/>
    </row>
    <row r="10" spans="1:13" s="77" customFormat="1" ht="15.75">
      <c r="A10" s="683">
        <v>2011</v>
      </c>
      <c r="B10" s="1338">
        <v>2094</v>
      </c>
      <c r="C10" s="1338">
        <v>20503</v>
      </c>
      <c r="D10" s="1338"/>
      <c r="E10" s="1573">
        <f t="shared" si="0"/>
        <v>22597</v>
      </c>
      <c r="F10" s="1575">
        <f t="shared" si="1"/>
        <v>9.2667168208169226E-2</v>
      </c>
      <c r="G10" s="1576">
        <f t="shared" si="2"/>
        <v>0.90733283179183077</v>
      </c>
      <c r="M10" s="39"/>
    </row>
    <row r="11" spans="1:13" s="77" customFormat="1" ht="15.75">
      <c r="A11" s="683" t="s">
        <v>485</v>
      </c>
      <c r="B11" s="1338">
        <v>3858</v>
      </c>
      <c r="C11" s="1338">
        <v>22830</v>
      </c>
      <c r="D11" s="1338"/>
      <c r="E11" s="1573">
        <f>SUM(B11:D11)</f>
        <v>26688</v>
      </c>
      <c r="F11" s="1575">
        <f t="shared" si="1"/>
        <v>0.1445593525179856</v>
      </c>
      <c r="G11" s="1576">
        <f t="shared" si="2"/>
        <v>0.85544064748201443</v>
      </c>
      <c r="M11" s="168"/>
    </row>
    <row r="12" spans="1:13" s="77" customFormat="1" ht="15.75">
      <c r="A12" s="683" t="s">
        <v>573</v>
      </c>
      <c r="B12" s="1338">
        <v>4451</v>
      </c>
      <c r="C12" s="1338">
        <v>24184</v>
      </c>
      <c r="D12" s="1338"/>
      <c r="E12" s="1573">
        <f>SUM(B12:D12)</f>
        <v>28635</v>
      </c>
      <c r="F12" s="1575">
        <f>B12/E12</f>
        <v>0.15543914789593155</v>
      </c>
      <c r="G12" s="1576">
        <f>C12/E12</f>
        <v>0.84456085210406839</v>
      </c>
      <c r="M12" s="168"/>
    </row>
    <row r="13" spans="1:13" s="77" customFormat="1" ht="15.75">
      <c r="A13" s="683" t="s">
        <v>581</v>
      </c>
      <c r="B13" s="1338">
        <v>5112</v>
      </c>
      <c r="C13" s="1338">
        <v>25920</v>
      </c>
      <c r="D13" s="1338"/>
      <c r="E13" s="1573">
        <f>SUM(B13:D13)</f>
        <v>31032</v>
      </c>
      <c r="F13" s="1575">
        <f>B13/E13</f>
        <v>0.16473317865429235</v>
      </c>
      <c r="G13" s="1576">
        <f>C13/E13</f>
        <v>0.83526682134570762</v>
      </c>
      <c r="M13" s="168"/>
    </row>
    <row r="14" spans="1:13" s="77" customFormat="1" ht="15.75">
      <c r="A14" s="683" t="s">
        <v>968</v>
      </c>
      <c r="B14" s="1338">
        <f>348+428+530+456+493+441</f>
        <v>2696</v>
      </c>
      <c r="C14" s="1338">
        <f>1900+2162+2608+2323+2386+2484</f>
        <v>13863</v>
      </c>
      <c r="D14" s="1338"/>
      <c r="E14" s="1573">
        <f>SUM(B14:D14)</f>
        <v>16559</v>
      </c>
      <c r="F14" s="1575">
        <f>B14/E14</f>
        <v>0.16281176399541036</v>
      </c>
      <c r="G14" s="1576">
        <f>C14/E14</f>
        <v>0.83718823600458969</v>
      </c>
      <c r="M14" s="39"/>
    </row>
    <row r="15" spans="1:13" s="77" customFormat="1" ht="15.75">
      <c r="A15" s="678" t="s">
        <v>23</v>
      </c>
      <c r="B15" s="684">
        <f>SUM(B4:B14)</f>
        <v>22122</v>
      </c>
      <c r="C15" s="684">
        <f>SUM(C4:C14)</f>
        <v>164315</v>
      </c>
      <c r="D15" s="684">
        <f>SUM(D4:D14)</f>
        <v>0</v>
      </c>
      <c r="E15" s="1574">
        <f>SUM(E4:E14)</f>
        <v>186437</v>
      </c>
      <c r="F15" s="1577">
        <f>B15/E15</f>
        <v>0.11865670440953244</v>
      </c>
      <c r="G15" s="1578">
        <f>C15/E15</f>
        <v>0.88134329559046753</v>
      </c>
      <c r="L15" s="39"/>
    </row>
    <row r="16" spans="1:13" s="77" customFormat="1">
      <c r="K16" s="39"/>
      <c r="L16" s="39"/>
    </row>
    <row r="17" spans="1:12" s="77" customFormat="1">
      <c r="K17" s="39"/>
      <c r="L17" s="39"/>
    </row>
    <row r="18" spans="1:12" s="77" customFormat="1"/>
    <row r="19" spans="1:12" s="77" customFormat="1"/>
    <row r="20" spans="1:12" s="77" customFormat="1"/>
    <row r="21" spans="1:12" s="77" customFormat="1"/>
    <row r="22" spans="1:12" s="77" customFormat="1"/>
    <row r="23" spans="1:12" s="77" customFormat="1"/>
    <row r="24" spans="1:12" s="77" customFormat="1"/>
    <row r="25" spans="1:12" s="77" customFormat="1"/>
    <row r="26" spans="1:12">
      <c r="A26" s="77"/>
      <c r="B26" s="77"/>
      <c r="C26" s="77"/>
      <c r="D26" s="77"/>
      <c r="E26" s="77"/>
      <c r="F26" s="77"/>
      <c r="G26" s="77"/>
    </row>
    <row r="27" spans="1:12">
      <c r="K27" s="148"/>
    </row>
  </sheetData>
  <mergeCells count="1">
    <mergeCell ref="A1:L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T25"/>
  <sheetViews>
    <sheetView showGridLines="0" view="pageBreakPreview" zoomScale="55" zoomScaleNormal="85" zoomScaleSheetLayoutView="55" workbookViewId="0">
      <selection activeCell="Q42" sqref="Q42"/>
    </sheetView>
  </sheetViews>
  <sheetFormatPr baseColWidth="10" defaultColWidth="11.42578125" defaultRowHeight="11.25" customHeight="1"/>
  <cols>
    <col min="1" max="1" width="22.5703125" style="74" customWidth="1"/>
    <col min="2" max="2" width="22" style="74" customWidth="1"/>
    <col min="3" max="3" width="22.140625" style="74" customWidth="1"/>
    <col min="4" max="4" width="21.7109375" style="74" customWidth="1"/>
    <col min="5" max="5" width="20" style="74" customWidth="1"/>
    <col min="6" max="7" width="11.42578125" style="74"/>
    <col min="8" max="8" width="12.5703125" style="74" bestFit="1" customWidth="1"/>
    <col min="9" max="9" width="13.5703125" style="74" bestFit="1" customWidth="1"/>
    <col min="10" max="10" width="12" style="74" customWidth="1"/>
    <col min="11" max="11" width="13.85546875" style="74" customWidth="1"/>
    <col min="12" max="12" width="15.140625" style="74" customWidth="1"/>
    <col min="13" max="13" width="19.140625" style="74" customWidth="1"/>
    <col min="14" max="14" width="24.28515625" style="74" customWidth="1"/>
    <col min="15" max="18" width="11.42578125" style="74"/>
    <col min="19" max="19" width="10" style="74" customWidth="1"/>
    <col min="20" max="16384" width="11.42578125" style="74"/>
  </cols>
  <sheetData>
    <row r="1" spans="1:20" ht="105" customHeight="1">
      <c r="A1" s="1831"/>
      <c r="B1" s="1831"/>
      <c r="C1" s="1831"/>
      <c r="D1" s="1831"/>
      <c r="E1" s="1831"/>
      <c r="F1" s="1831"/>
      <c r="G1" s="1831"/>
      <c r="H1" s="1831"/>
      <c r="I1" s="1831"/>
      <c r="J1" s="1831"/>
      <c r="K1" s="1831"/>
      <c r="L1" s="1831"/>
      <c r="M1" s="1831"/>
      <c r="N1" s="1831"/>
    </row>
    <row r="2" spans="1:20" s="70" customFormat="1" ht="2.25" customHeight="1">
      <c r="A2" s="75"/>
      <c r="B2" s="75"/>
      <c r="C2" s="75"/>
      <c r="D2" s="75"/>
      <c r="E2" s="75"/>
    </row>
    <row r="3" spans="1:20" s="70" customFormat="1" ht="37.5">
      <c r="A3" s="308" t="s">
        <v>49</v>
      </c>
      <c r="B3" s="1171" t="s">
        <v>167</v>
      </c>
      <c r="C3" s="1172" t="s">
        <v>168</v>
      </c>
      <c r="D3" s="1173" t="s">
        <v>169</v>
      </c>
      <c r="E3" s="75"/>
      <c r="F3" s="71"/>
      <c r="J3" s="256"/>
      <c r="M3" s="170"/>
    </row>
    <row r="4" spans="1:20" s="70" customFormat="1" ht="19.5" customHeight="1">
      <c r="A4" s="309" t="s">
        <v>486</v>
      </c>
      <c r="B4" s="1739">
        <v>12759.99</v>
      </c>
      <c r="C4" s="1740">
        <v>15836.19</v>
      </c>
      <c r="D4" s="1741">
        <v>14748.51</v>
      </c>
      <c r="E4" s="75"/>
      <c r="F4" s="71"/>
      <c r="O4" s="190"/>
      <c r="P4" s="190"/>
      <c r="Q4" s="190"/>
      <c r="R4" s="190"/>
      <c r="S4" s="264"/>
      <c r="T4" s="264"/>
    </row>
    <row r="5" spans="1:20" s="70" customFormat="1" ht="21.75" customHeight="1">
      <c r="A5" s="309" t="s">
        <v>434</v>
      </c>
      <c r="B5" s="1742">
        <v>13453</v>
      </c>
      <c r="C5" s="1743">
        <v>14653.84</v>
      </c>
      <c r="D5" s="1744">
        <v>15155.74</v>
      </c>
      <c r="E5" s="75"/>
      <c r="F5" s="71"/>
      <c r="O5" s="190"/>
      <c r="P5" s="190"/>
      <c r="Q5" s="190"/>
      <c r="R5" s="190"/>
      <c r="S5" s="264"/>
      <c r="T5" s="264"/>
    </row>
    <row r="6" spans="1:20" s="70" customFormat="1" ht="20.25" customHeight="1">
      <c r="A6" s="309" t="s">
        <v>435</v>
      </c>
      <c r="B6" s="1742">
        <v>13943.45</v>
      </c>
      <c r="C6" s="1743">
        <v>16719.03</v>
      </c>
      <c r="D6" s="1744">
        <v>15971.57</v>
      </c>
      <c r="E6" s="75"/>
      <c r="F6" s="71"/>
      <c r="O6" s="190"/>
      <c r="P6" s="190"/>
      <c r="Q6" s="190"/>
      <c r="R6" s="190"/>
      <c r="S6" s="264"/>
      <c r="T6" s="264"/>
    </row>
    <row r="7" spans="1:20" s="70" customFormat="1" ht="18" customHeight="1">
      <c r="A7" s="309" t="s">
        <v>436</v>
      </c>
      <c r="B7" s="1742">
        <v>15132</v>
      </c>
      <c r="C7" s="1743">
        <v>17464</v>
      </c>
      <c r="D7" s="1744">
        <v>17399</v>
      </c>
      <c r="E7" s="75"/>
      <c r="F7" s="71"/>
      <c r="G7" s="71"/>
      <c r="H7" s="71"/>
      <c r="I7" s="71"/>
      <c r="J7" s="71"/>
      <c r="K7" s="71"/>
      <c r="N7" s="190"/>
      <c r="O7" s="190"/>
      <c r="P7" s="190"/>
      <c r="Q7" s="190"/>
      <c r="R7" s="190"/>
      <c r="S7" s="264"/>
      <c r="T7" s="264"/>
    </row>
    <row r="8" spans="1:20" ht="18.75" customHeight="1">
      <c r="A8" s="309" t="s">
        <v>487</v>
      </c>
      <c r="B8" s="1742">
        <v>15533</v>
      </c>
      <c r="C8" s="1743">
        <v>18675</v>
      </c>
      <c r="D8" s="1744">
        <v>17851</v>
      </c>
      <c r="E8" s="75"/>
      <c r="F8" s="75"/>
      <c r="G8" s="71"/>
      <c r="H8" s="71"/>
      <c r="I8" s="71"/>
      <c r="K8" s="70"/>
      <c r="L8" s="70"/>
      <c r="M8" s="70"/>
      <c r="N8" s="190"/>
      <c r="O8" s="190"/>
      <c r="P8" s="190"/>
      <c r="Q8" s="190"/>
      <c r="R8" s="190"/>
      <c r="S8" s="264"/>
      <c r="T8" s="264"/>
    </row>
    <row r="9" spans="1:20" ht="18.75">
      <c r="A9" s="309" t="s">
        <v>546</v>
      </c>
      <c r="B9" s="1742">
        <v>16191</v>
      </c>
      <c r="C9" s="1743">
        <v>19327</v>
      </c>
      <c r="D9" s="1744">
        <v>20747</v>
      </c>
      <c r="E9" s="75"/>
      <c r="F9" s="75"/>
      <c r="G9" s="71"/>
      <c r="H9" s="71"/>
      <c r="I9" s="71"/>
      <c r="K9" s="70"/>
      <c r="L9" s="70"/>
      <c r="M9" s="70"/>
      <c r="N9" s="190"/>
      <c r="O9" s="190"/>
      <c r="P9" s="190"/>
      <c r="Q9" s="190"/>
      <c r="R9" s="190"/>
      <c r="S9" s="265"/>
    </row>
    <row r="10" spans="1:20" ht="18.75">
      <c r="A10" s="1614" t="s">
        <v>586</v>
      </c>
      <c r="B10" s="1745">
        <v>16415</v>
      </c>
      <c r="C10" s="1746">
        <v>20545</v>
      </c>
      <c r="D10" s="1747">
        <v>22507</v>
      </c>
      <c r="E10" s="75"/>
      <c r="F10" s="75"/>
      <c r="G10" s="71"/>
      <c r="H10" s="71"/>
      <c r="I10" s="71"/>
      <c r="K10" s="70"/>
      <c r="L10" s="70"/>
      <c r="M10" s="70"/>
      <c r="N10" s="190"/>
      <c r="O10" s="190"/>
      <c r="P10" s="190"/>
      <c r="Q10" s="190"/>
      <c r="R10" s="190"/>
      <c r="S10" s="265"/>
    </row>
    <row r="11" spans="1:20" ht="18.75">
      <c r="A11" s="1615" t="s">
        <v>946</v>
      </c>
      <c r="B11" s="1748">
        <v>16520.22</v>
      </c>
      <c r="C11" s="1749">
        <v>21523.51</v>
      </c>
      <c r="D11" s="1750">
        <v>24006.720000000001</v>
      </c>
      <c r="E11" s="75"/>
      <c r="F11" s="75"/>
      <c r="G11" s="75"/>
      <c r="H11" s="75"/>
      <c r="I11" s="75"/>
      <c r="J11" s="75"/>
      <c r="N11" s="190"/>
      <c r="O11" s="190"/>
      <c r="P11" s="190"/>
      <c r="Q11" s="190"/>
      <c r="R11" s="190"/>
    </row>
    <row r="12" spans="1:20" ht="11.25" customHeight="1">
      <c r="A12" s="266"/>
      <c r="B12" s="72"/>
      <c r="C12" s="75"/>
      <c r="D12" s="75"/>
      <c r="E12" s="75"/>
      <c r="F12" s="75"/>
      <c r="G12" s="75"/>
      <c r="H12" s="75"/>
      <c r="I12" s="75"/>
      <c r="J12" s="75"/>
      <c r="N12" s="190"/>
      <c r="O12" s="190"/>
      <c r="P12" s="190"/>
      <c r="Q12" s="190"/>
      <c r="R12" s="190"/>
    </row>
    <row r="13" spans="1:20" ht="11.25" customHeight="1">
      <c r="B13" s="72"/>
      <c r="C13" s="75"/>
      <c r="D13" s="75"/>
      <c r="E13" s="75"/>
      <c r="F13" s="75"/>
      <c r="G13" s="75"/>
      <c r="H13" s="75"/>
      <c r="I13" s="75"/>
      <c r="J13" s="75"/>
      <c r="N13" s="190"/>
      <c r="O13" s="190"/>
      <c r="P13" s="190"/>
      <c r="Q13" s="190"/>
      <c r="R13" s="190"/>
    </row>
    <row r="14" spans="1:20" ht="11.25" customHeight="1">
      <c r="B14" s="72"/>
      <c r="C14" s="75"/>
      <c r="D14" s="75"/>
      <c r="E14" s="75"/>
      <c r="F14" s="75"/>
      <c r="G14" s="75"/>
      <c r="H14" s="75"/>
      <c r="I14" s="75"/>
      <c r="J14" s="75"/>
      <c r="N14" s="190"/>
      <c r="O14" s="190"/>
      <c r="P14" s="190"/>
      <c r="Q14" s="190"/>
      <c r="R14" s="190"/>
    </row>
    <row r="15" spans="1:20" ht="11.25" customHeight="1">
      <c r="B15" s="72"/>
      <c r="C15" s="75"/>
      <c r="D15" s="75"/>
      <c r="E15" s="75"/>
      <c r="F15" s="75"/>
      <c r="G15" s="75"/>
      <c r="H15" s="75"/>
      <c r="I15" s="75"/>
      <c r="J15" s="75"/>
      <c r="N15" s="190"/>
      <c r="O15" s="190"/>
      <c r="P15" s="190"/>
      <c r="Q15" s="190"/>
      <c r="R15" s="190"/>
    </row>
    <row r="16" spans="1:20" ht="11.25" customHeight="1">
      <c r="N16" s="190"/>
      <c r="O16" s="190"/>
      <c r="P16" s="190"/>
      <c r="Q16" s="190"/>
      <c r="R16" s="190"/>
    </row>
    <row r="17" spans="14:18" ht="11.25" customHeight="1">
      <c r="N17" s="190"/>
      <c r="O17" s="190"/>
      <c r="P17" s="190"/>
      <c r="Q17" s="190"/>
      <c r="R17" s="190"/>
    </row>
    <row r="18" spans="14:18" ht="11.25" customHeight="1">
      <c r="N18" s="190"/>
      <c r="O18" s="190"/>
      <c r="P18" s="190"/>
      <c r="Q18" s="190"/>
      <c r="R18" s="190"/>
    </row>
    <row r="19" spans="14:18" ht="11.25" customHeight="1">
      <c r="N19" s="190"/>
      <c r="O19" s="190"/>
      <c r="P19" s="190"/>
      <c r="Q19" s="190"/>
      <c r="R19" s="190"/>
    </row>
    <row r="20" spans="14:18" ht="11.25" customHeight="1">
      <c r="N20" s="190"/>
      <c r="O20" s="190"/>
      <c r="P20" s="190"/>
      <c r="Q20" s="190"/>
      <c r="R20" s="190"/>
    </row>
    <row r="21" spans="14:18" ht="11.25" customHeight="1">
      <c r="N21" s="190"/>
      <c r="O21" s="190"/>
      <c r="P21" s="190"/>
      <c r="Q21" s="190"/>
      <c r="R21" s="190"/>
    </row>
    <row r="22" spans="14:18" ht="11.25" customHeight="1">
      <c r="N22" s="190"/>
      <c r="O22" s="190"/>
      <c r="P22" s="190"/>
      <c r="Q22" s="190"/>
      <c r="R22" s="190"/>
    </row>
    <row r="23" spans="14:18" ht="11.25" customHeight="1">
      <c r="N23" s="190"/>
      <c r="O23" s="190"/>
      <c r="P23" s="190"/>
      <c r="Q23" s="190"/>
      <c r="R23" s="190"/>
    </row>
    <row r="24" spans="14:18" ht="11.25" customHeight="1">
      <c r="N24" s="190"/>
      <c r="O24" s="190"/>
      <c r="P24" s="190"/>
      <c r="Q24" s="190"/>
      <c r="R24" s="190"/>
    </row>
    <row r="25" spans="14:18" ht="11.25" customHeight="1">
      <c r="N25" s="190"/>
      <c r="O25" s="190"/>
      <c r="P25" s="190"/>
      <c r="Q25" s="190"/>
      <c r="R25" s="190"/>
    </row>
  </sheetData>
  <mergeCells count="1">
    <mergeCell ref="A1:N1"/>
  </mergeCells>
  <printOptions horizontalCentered="1" verticalCentered="1"/>
  <pageMargins left="0.4" right="0.4" top="0.25" bottom="0.25" header="0.31496062992126" footer="0.31496062992126"/>
  <pageSetup scale="54"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K50"/>
  <sheetViews>
    <sheetView showGridLines="0" view="pageBreakPreview" topLeftCell="A2" zoomScale="70" zoomScaleNormal="100" zoomScaleSheetLayoutView="70" workbookViewId="0">
      <selection activeCell="H9" sqref="H9"/>
    </sheetView>
  </sheetViews>
  <sheetFormatPr baseColWidth="10" defaultColWidth="11.42578125" defaultRowHeight="15"/>
  <cols>
    <col min="1" max="1" width="16.285156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13.14062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7" customFormat="1" ht="69" customHeight="1">
      <c r="A1" s="1882"/>
      <c r="B1" s="1882"/>
      <c r="C1" s="1882"/>
      <c r="D1" s="1882"/>
      <c r="E1" s="1882"/>
      <c r="F1" s="1882"/>
      <c r="G1" s="1882"/>
      <c r="H1" s="1882"/>
      <c r="I1" s="1882"/>
      <c r="J1" s="1882"/>
    </row>
    <row r="2" spans="1:11" s="38" customFormat="1" ht="6.75" customHeight="1">
      <c r="A2" s="141"/>
      <c r="B2" s="141"/>
      <c r="C2" s="141"/>
      <c r="D2" s="141"/>
      <c r="E2" s="141"/>
      <c r="F2" s="141"/>
      <c r="G2" s="141"/>
      <c r="H2" s="141"/>
      <c r="I2" s="141"/>
      <c r="J2" s="141"/>
    </row>
    <row r="3" spans="1:11" s="141" customFormat="1" ht="21" customHeight="1">
      <c r="A3" s="663" t="s">
        <v>260</v>
      </c>
      <c r="B3" s="537" t="s">
        <v>51</v>
      </c>
      <c r="C3" s="537" t="s">
        <v>50</v>
      </c>
      <c r="D3" s="663" t="s">
        <v>140</v>
      </c>
      <c r="E3" s="537" t="s">
        <v>230</v>
      </c>
      <c r="F3" s="538" t="s">
        <v>229</v>
      </c>
      <c r="K3" s="162"/>
    </row>
    <row r="4" spans="1:11" s="77" customFormat="1" ht="15.75">
      <c r="A4" s="584">
        <v>2005</v>
      </c>
      <c r="B4" s="288">
        <v>484</v>
      </c>
      <c r="C4" s="288">
        <v>3247</v>
      </c>
      <c r="D4" s="1579">
        <f t="shared" ref="D4:D10" si="0">B4+C4</f>
        <v>3731</v>
      </c>
      <c r="E4" s="285">
        <f t="shared" ref="E4:E10" si="1">B4/D4</f>
        <v>0.12972393460198339</v>
      </c>
      <c r="F4" s="530">
        <f t="shared" ref="F4:F10" si="2">C4/D4</f>
        <v>0.87027606539801661</v>
      </c>
    </row>
    <row r="5" spans="1:11" s="77" customFormat="1" ht="15.75">
      <c r="A5" s="584">
        <v>2006</v>
      </c>
      <c r="B5" s="288">
        <v>960</v>
      </c>
      <c r="C5" s="288">
        <v>4575</v>
      </c>
      <c r="D5" s="1579">
        <f t="shared" si="0"/>
        <v>5535</v>
      </c>
      <c r="E5" s="285">
        <f t="shared" si="1"/>
        <v>0.17344173441734417</v>
      </c>
      <c r="F5" s="530">
        <f t="shared" si="2"/>
        <v>0.82655826558265577</v>
      </c>
    </row>
    <row r="6" spans="1:11" s="77" customFormat="1" ht="15.75">
      <c r="A6" s="584">
        <v>2007</v>
      </c>
      <c r="B6" s="288">
        <v>1468</v>
      </c>
      <c r="C6" s="288">
        <v>7076</v>
      </c>
      <c r="D6" s="1579">
        <f t="shared" si="0"/>
        <v>8544</v>
      </c>
      <c r="E6" s="285">
        <f t="shared" si="1"/>
        <v>0.17181647940074907</v>
      </c>
      <c r="F6" s="530">
        <f t="shared" si="2"/>
        <v>0.82818352059925093</v>
      </c>
    </row>
    <row r="7" spans="1:11" s="77" customFormat="1" ht="15.75">
      <c r="A7" s="584">
        <v>2008</v>
      </c>
      <c r="B7" s="288">
        <v>2080</v>
      </c>
      <c r="C7" s="288">
        <v>8897</v>
      </c>
      <c r="D7" s="1579">
        <f t="shared" si="0"/>
        <v>10977</v>
      </c>
      <c r="E7" s="285">
        <f t="shared" si="1"/>
        <v>0.18948710941058577</v>
      </c>
      <c r="F7" s="530">
        <f t="shared" si="2"/>
        <v>0.81051289058941423</v>
      </c>
    </row>
    <row r="8" spans="1:11" s="77" customFormat="1" ht="15.75">
      <c r="A8" s="584">
        <v>2009</v>
      </c>
      <c r="B8" s="288">
        <v>3076</v>
      </c>
      <c r="C8" s="288">
        <v>11607</v>
      </c>
      <c r="D8" s="1579">
        <f t="shared" si="0"/>
        <v>14683</v>
      </c>
      <c r="E8" s="285">
        <f t="shared" si="1"/>
        <v>0.20949397262139891</v>
      </c>
      <c r="F8" s="530">
        <f t="shared" si="2"/>
        <v>0.79050602737860109</v>
      </c>
    </row>
    <row r="9" spans="1:11" s="77" customFormat="1" ht="15.75">
      <c r="A9" s="584">
        <v>2010</v>
      </c>
      <c r="B9" s="288">
        <v>3940</v>
      </c>
      <c r="C9" s="288">
        <v>13516</v>
      </c>
      <c r="D9" s="1579">
        <f t="shared" si="0"/>
        <v>17456</v>
      </c>
      <c r="E9" s="285">
        <f t="shared" si="1"/>
        <v>0.22571035747021082</v>
      </c>
      <c r="F9" s="530">
        <f t="shared" si="2"/>
        <v>0.77428964252978916</v>
      </c>
    </row>
    <row r="10" spans="1:11" s="77" customFormat="1" ht="15.75">
      <c r="A10" s="584">
        <v>2011</v>
      </c>
      <c r="B10" s="288">
        <v>5648</v>
      </c>
      <c r="C10" s="288">
        <v>16949</v>
      </c>
      <c r="D10" s="1579">
        <f t="shared" si="0"/>
        <v>22597</v>
      </c>
      <c r="E10" s="285">
        <f t="shared" si="1"/>
        <v>0.24994468292251185</v>
      </c>
      <c r="F10" s="530">
        <f t="shared" si="2"/>
        <v>0.75005531707748818</v>
      </c>
      <c r="K10" s="23"/>
    </row>
    <row r="11" spans="1:11" s="77" customFormat="1" ht="15.75">
      <c r="A11" s="584">
        <v>2012</v>
      </c>
      <c r="B11" s="288">
        <v>7023</v>
      </c>
      <c r="C11" s="288">
        <v>19665</v>
      </c>
      <c r="D11" s="1579">
        <f>B11+C11</f>
        <v>26688</v>
      </c>
      <c r="E11" s="285">
        <f>B11/D11</f>
        <v>0.26315197841726617</v>
      </c>
      <c r="F11" s="530">
        <f>C11/D11</f>
        <v>0.73684802158273377</v>
      </c>
      <c r="K11" s="23"/>
    </row>
    <row r="12" spans="1:11" s="77" customFormat="1" ht="15.75">
      <c r="A12" s="584">
        <v>2013</v>
      </c>
      <c r="B12" s="288">
        <v>7836</v>
      </c>
      <c r="C12" s="288">
        <v>20799</v>
      </c>
      <c r="D12" s="1579">
        <f>B12+C12</f>
        <v>28635</v>
      </c>
      <c r="E12" s="285">
        <f>B12/D12</f>
        <v>0.27365112624410687</v>
      </c>
      <c r="F12" s="530">
        <f>C12/D12</f>
        <v>0.72634887375589319</v>
      </c>
      <c r="K12" s="23"/>
    </row>
    <row r="13" spans="1:11" s="77" customFormat="1" ht="15.75">
      <c r="A13" s="584">
        <v>2014</v>
      </c>
      <c r="B13" s="288">
        <v>8866</v>
      </c>
      <c r="C13" s="288">
        <v>22166</v>
      </c>
      <c r="D13" s="1579">
        <f>B13+C13</f>
        <v>31032</v>
      </c>
      <c r="E13" s="285">
        <f>B13/D13</f>
        <v>0.28570507862851252</v>
      </c>
      <c r="F13" s="530">
        <f>C13/D13</f>
        <v>0.71429492137148753</v>
      </c>
      <c r="K13" s="23"/>
    </row>
    <row r="14" spans="1:11" s="77" customFormat="1" ht="15.75">
      <c r="A14" s="584" t="s">
        <v>968</v>
      </c>
      <c r="B14" s="288">
        <f>603+775+933+822+824+785+14</f>
        <v>4756</v>
      </c>
      <c r="C14" s="288">
        <f>1641+1812+2199+1953+2049+2136+13</f>
        <v>11803</v>
      </c>
      <c r="D14" s="1579">
        <f>B14+C14</f>
        <v>16559</v>
      </c>
      <c r="E14" s="285">
        <f>B14/D14</f>
        <v>0.28721541155866898</v>
      </c>
      <c r="F14" s="530">
        <f>C14/D14</f>
        <v>0.71278458844133097</v>
      </c>
      <c r="K14" s="23"/>
    </row>
    <row r="15" spans="1:11" s="77" customFormat="1" ht="15.75">
      <c r="A15" s="663" t="s">
        <v>23</v>
      </c>
      <c r="B15" s="539">
        <f>SUM(B4:B14)</f>
        <v>46137</v>
      </c>
      <c r="C15" s="539">
        <f>SUM(C4:C14)</f>
        <v>140300</v>
      </c>
      <c r="D15" s="1580">
        <f>SUM(D4:D14)</f>
        <v>186437</v>
      </c>
      <c r="E15" s="688">
        <f>AVERAGE(E4:E10)</f>
        <v>0.19280261012068342</v>
      </c>
      <c r="F15" s="689">
        <f>AVERAGE(F4:F10)</f>
        <v>0.80719738987931655</v>
      </c>
      <c r="K15" s="39"/>
    </row>
    <row r="16" spans="1:11" s="77" customFormat="1" ht="15.75">
      <c r="H16" s="153"/>
      <c r="K16" s="39"/>
    </row>
    <row r="17" spans="11:11" s="77" customFormat="1">
      <c r="K17" s="23"/>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3:11" s="77" customFormat="1">
      <c r="K33" s="23"/>
    </row>
    <row r="34" spans="3:11" s="77" customFormat="1">
      <c r="K34" s="23"/>
    </row>
    <row r="35" spans="3:11" s="77" customFormat="1"/>
    <row r="36" spans="3:11" s="77" customFormat="1"/>
    <row r="37" spans="3:11" s="77" customFormat="1"/>
    <row r="38" spans="3:11" s="77" customFormat="1" ht="15.75">
      <c r="C38" s="142"/>
    </row>
    <row r="39" spans="3:11" s="77" customFormat="1"/>
    <row r="40" spans="3:11" s="77" customFormat="1"/>
    <row r="41" spans="3:11" s="77" customFormat="1"/>
    <row r="42" spans="3:11" s="77" customFormat="1"/>
    <row r="43" spans="3:11" s="77" customFormat="1"/>
    <row r="44" spans="3:11" s="77" customFormat="1"/>
    <row r="45" spans="3:11" s="77" customFormat="1"/>
    <row r="46" spans="3:11" s="77" customFormat="1"/>
    <row r="47" spans="3:11" s="77" customFormat="1"/>
    <row r="48" spans="3:11" s="77" customFormat="1"/>
    <row r="49" spans="1:6" s="77" customFormat="1"/>
    <row r="50" spans="1:6">
      <c r="A50" s="77"/>
      <c r="B50" s="77"/>
      <c r="C50" s="77"/>
      <c r="D50" s="77"/>
      <c r="E50" s="77"/>
      <c r="F50" s="77"/>
    </row>
  </sheetData>
  <mergeCells count="1">
    <mergeCell ref="A1:J1"/>
  </mergeCells>
  <printOptions horizontalCentered="1"/>
  <pageMargins left="0.39370078740157483" right="0.39370078740157483" top="0.23622047244094491" bottom="0.23622047244094491" header="0.31496062992125984" footer="0.31496062992125984"/>
  <pageSetup scale="79"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O26"/>
  <sheetViews>
    <sheetView showGridLines="0" view="pageBreakPreview" zoomScale="73" zoomScaleNormal="100" zoomScaleSheetLayoutView="73" workbookViewId="0">
      <selection activeCell="P27" sqref="P27"/>
    </sheetView>
  </sheetViews>
  <sheetFormatPr baseColWidth="10" defaultColWidth="11.42578125" defaultRowHeight="15"/>
  <cols>
    <col min="1" max="1" width="15.5703125" style="39" customWidth="1"/>
    <col min="2" max="2" width="10.7109375" style="39" customWidth="1"/>
    <col min="3" max="6" width="11" style="39" customWidth="1"/>
    <col min="7" max="7" width="13.570312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5" s="77" customFormat="1" ht="60.75" customHeight="1">
      <c r="A1" s="1882"/>
      <c r="B1" s="1882"/>
      <c r="C1" s="1882"/>
      <c r="D1" s="1882"/>
      <c r="E1" s="1882"/>
      <c r="F1" s="1882"/>
      <c r="G1" s="1882"/>
      <c r="H1" s="1882"/>
      <c r="I1" s="1882"/>
      <c r="J1" s="1882"/>
      <c r="K1" s="1882"/>
      <c r="L1" s="1882"/>
      <c r="M1" s="1882"/>
      <c r="N1" s="1882"/>
    </row>
    <row r="2" spans="1:15" s="77" customFormat="1" ht="6" customHeight="1">
      <c r="A2" s="886"/>
      <c r="B2" s="874"/>
      <c r="C2" s="874"/>
      <c r="D2" s="874"/>
      <c r="E2" s="874"/>
      <c r="F2" s="874"/>
      <c r="G2" s="874"/>
      <c r="H2" s="874"/>
      <c r="I2" s="874"/>
      <c r="J2" s="874"/>
      <c r="K2" s="874"/>
      <c r="L2" s="874"/>
      <c r="M2" s="874"/>
      <c r="N2" s="887"/>
    </row>
    <row r="3" spans="1:15" s="141" customFormat="1" ht="61.5" customHeight="1">
      <c r="A3" s="662" t="s">
        <v>0</v>
      </c>
      <c r="B3" s="681" t="s">
        <v>345</v>
      </c>
      <c r="C3" s="681" t="s">
        <v>344</v>
      </c>
      <c r="D3" s="681" t="s">
        <v>343</v>
      </c>
      <c r="E3" s="681" t="s">
        <v>342</v>
      </c>
      <c r="F3" s="681" t="s">
        <v>341</v>
      </c>
      <c r="G3" s="681" t="s">
        <v>913</v>
      </c>
      <c r="H3" s="699" t="s">
        <v>143</v>
      </c>
      <c r="I3" s="681" t="s">
        <v>339</v>
      </c>
      <c r="J3" s="681" t="s">
        <v>446</v>
      </c>
      <c r="K3" s="681" t="s">
        <v>447</v>
      </c>
      <c r="L3" s="681" t="s">
        <v>338</v>
      </c>
      <c r="M3" s="681" t="s">
        <v>337</v>
      </c>
      <c r="N3" s="682" t="s">
        <v>336</v>
      </c>
    </row>
    <row r="4" spans="1:15" s="77" customFormat="1" ht="15.75">
      <c r="A4" s="683">
        <v>2005</v>
      </c>
      <c r="B4" s="735">
        <v>145</v>
      </c>
      <c r="C4" s="735">
        <v>345</v>
      </c>
      <c r="D4" s="735">
        <v>1445</v>
      </c>
      <c r="E4" s="735">
        <v>1013</v>
      </c>
      <c r="F4" s="735">
        <v>511</v>
      </c>
      <c r="G4" s="735">
        <f>275-3</f>
        <v>272</v>
      </c>
      <c r="H4" s="1279">
        <f t="shared" ref="H4:H10" si="0">SUM(B4:G4)</f>
        <v>3731</v>
      </c>
      <c r="I4" s="747">
        <f t="shared" ref="I4:I15" si="1">B4/H4</f>
        <v>3.8863575448941305E-2</v>
      </c>
      <c r="J4" s="747">
        <f t="shared" ref="J4:J15" si="2">C4/H4</f>
        <v>9.2468507102653447E-2</v>
      </c>
      <c r="K4" s="747">
        <f t="shared" ref="K4:K15" si="3">D4/H4</f>
        <v>0.3872956311980702</v>
      </c>
      <c r="L4" s="747">
        <f t="shared" ref="L4:L15" si="4">E4/H4</f>
        <v>0.27150897882605202</v>
      </c>
      <c r="M4" s="747">
        <f t="shared" ref="M4:M15" si="5">F4/H4</f>
        <v>0.13696060037523453</v>
      </c>
      <c r="N4" s="751">
        <f t="shared" ref="N4:N15" si="6">G4/H4</f>
        <v>7.2902707049048512E-2</v>
      </c>
    </row>
    <row r="5" spans="1:15" s="77" customFormat="1" ht="15.75">
      <c r="A5" s="683" t="s">
        <v>261</v>
      </c>
      <c r="B5" s="735">
        <v>37</v>
      </c>
      <c r="C5" s="735">
        <v>740</v>
      </c>
      <c r="D5" s="735">
        <v>2043</v>
      </c>
      <c r="E5" s="735">
        <v>1536</v>
      </c>
      <c r="F5" s="735">
        <v>808</v>
      </c>
      <c r="G5" s="735">
        <v>371</v>
      </c>
      <c r="H5" s="1279">
        <f t="shared" si="0"/>
        <v>5535</v>
      </c>
      <c r="I5" s="747">
        <f t="shared" si="1"/>
        <v>6.6847335140018064E-3</v>
      </c>
      <c r="J5" s="747">
        <f t="shared" si="2"/>
        <v>0.13369467028003612</v>
      </c>
      <c r="K5" s="747">
        <f t="shared" si="3"/>
        <v>0.36910569105691055</v>
      </c>
      <c r="L5" s="747">
        <f t="shared" si="4"/>
        <v>0.27750677506775068</v>
      </c>
      <c r="M5" s="747">
        <f t="shared" si="5"/>
        <v>0.14598012646793135</v>
      </c>
      <c r="N5" s="751">
        <f t="shared" si="6"/>
        <v>6.7028003613369469E-2</v>
      </c>
    </row>
    <row r="6" spans="1:15" s="77" customFormat="1" ht="15.75">
      <c r="A6" s="683" t="s">
        <v>177</v>
      </c>
      <c r="B6" s="735">
        <v>9</v>
      </c>
      <c r="C6" s="735">
        <v>1413</v>
      </c>
      <c r="D6" s="735">
        <v>3274</v>
      </c>
      <c r="E6" s="735">
        <v>2149</v>
      </c>
      <c r="F6" s="735">
        <v>1123</v>
      </c>
      <c r="G6" s="735">
        <f>571+5</f>
        <v>576</v>
      </c>
      <c r="H6" s="1279">
        <f t="shared" si="0"/>
        <v>8544</v>
      </c>
      <c r="I6" s="747">
        <f t="shared" si="1"/>
        <v>1.0533707865168539E-3</v>
      </c>
      <c r="J6" s="747">
        <f t="shared" si="2"/>
        <v>0.16537921348314608</v>
      </c>
      <c r="K6" s="747">
        <f t="shared" si="3"/>
        <v>0.38319288389513106</v>
      </c>
      <c r="L6" s="747">
        <f t="shared" si="4"/>
        <v>0.25152153558052437</v>
      </c>
      <c r="M6" s="747">
        <f t="shared" si="5"/>
        <v>0.13143726591760299</v>
      </c>
      <c r="N6" s="751">
        <f t="shared" si="6"/>
        <v>6.741573033707865E-2</v>
      </c>
    </row>
    <row r="7" spans="1:15" s="77" customFormat="1" ht="15.75">
      <c r="A7" s="683" t="s">
        <v>232</v>
      </c>
      <c r="B7" s="735">
        <v>7</v>
      </c>
      <c r="C7" s="735">
        <v>1031</v>
      </c>
      <c r="D7" s="735">
        <v>4066</v>
      </c>
      <c r="E7" s="735">
        <v>3112</v>
      </c>
      <c r="F7" s="735">
        <v>1708</v>
      </c>
      <c r="G7" s="735">
        <v>1053</v>
      </c>
      <c r="H7" s="1279">
        <f t="shared" si="0"/>
        <v>10977</v>
      </c>
      <c r="I7" s="747">
        <f t="shared" si="1"/>
        <v>6.3769700282408678E-4</v>
      </c>
      <c r="J7" s="747">
        <f t="shared" si="2"/>
        <v>9.3923658558804773E-2</v>
      </c>
      <c r="K7" s="747">
        <f t="shared" si="3"/>
        <v>0.37041085906896237</v>
      </c>
      <c r="L7" s="747">
        <f t="shared" si="4"/>
        <v>0.28350186754122253</v>
      </c>
      <c r="M7" s="747">
        <f t="shared" si="5"/>
        <v>0.15559806868907716</v>
      </c>
      <c r="N7" s="751">
        <f t="shared" si="6"/>
        <v>9.5927849139109039E-2</v>
      </c>
    </row>
    <row r="8" spans="1:15" s="77" customFormat="1" ht="15.75">
      <c r="A8" s="683" t="s">
        <v>233</v>
      </c>
      <c r="B8" s="735">
        <v>2</v>
      </c>
      <c r="C8" s="735">
        <v>2024</v>
      </c>
      <c r="D8" s="735">
        <v>5530</v>
      </c>
      <c r="E8" s="735">
        <v>3839</v>
      </c>
      <c r="F8" s="735">
        <v>2108</v>
      </c>
      <c r="G8" s="735">
        <v>1180</v>
      </c>
      <c r="H8" s="1279">
        <f t="shared" si="0"/>
        <v>14683</v>
      </c>
      <c r="I8" s="747">
        <f t="shared" si="1"/>
        <v>1.3621194578764559E-4</v>
      </c>
      <c r="J8" s="747">
        <f t="shared" si="2"/>
        <v>0.13784648913709732</v>
      </c>
      <c r="K8" s="747">
        <f t="shared" si="3"/>
        <v>0.37662603010284001</v>
      </c>
      <c r="L8" s="747">
        <f t="shared" si="4"/>
        <v>0.26145882993938568</v>
      </c>
      <c r="M8" s="747">
        <f t="shared" si="5"/>
        <v>0.14356739086017845</v>
      </c>
      <c r="N8" s="751">
        <f t="shared" si="6"/>
        <v>8.0365048014710894E-2</v>
      </c>
    </row>
    <row r="9" spans="1:15" s="77" customFormat="1" ht="15.75">
      <c r="A9" s="683" t="s">
        <v>196</v>
      </c>
      <c r="B9" s="735">
        <v>0</v>
      </c>
      <c r="C9" s="735">
        <v>3154</v>
      </c>
      <c r="D9" s="735">
        <v>6350</v>
      </c>
      <c r="E9" s="735">
        <v>4256</v>
      </c>
      <c r="F9" s="735">
        <v>2407</v>
      </c>
      <c r="G9" s="735">
        <v>1289</v>
      </c>
      <c r="H9" s="1279">
        <f t="shared" si="0"/>
        <v>17456</v>
      </c>
      <c r="I9" s="747">
        <f t="shared" si="1"/>
        <v>0</v>
      </c>
      <c r="J9" s="747">
        <f t="shared" si="2"/>
        <v>0.18068285976168652</v>
      </c>
      <c r="K9" s="747">
        <f t="shared" si="3"/>
        <v>0.3637717690192484</v>
      </c>
      <c r="L9" s="747">
        <f t="shared" si="4"/>
        <v>0.24381301558203483</v>
      </c>
      <c r="M9" s="747">
        <f t="shared" si="5"/>
        <v>0.13788955087076077</v>
      </c>
      <c r="N9" s="751">
        <f t="shared" si="6"/>
        <v>7.3842804766269476E-2</v>
      </c>
    </row>
    <row r="10" spans="1:15" s="77" customFormat="1" ht="15.75">
      <c r="A10" s="683">
        <v>2011</v>
      </c>
      <c r="B10" s="735">
        <v>6</v>
      </c>
      <c r="C10" s="735">
        <v>4931</v>
      </c>
      <c r="D10" s="735">
        <v>7715</v>
      </c>
      <c r="E10" s="735">
        <v>5319</v>
      </c>
      <c r="F10" s="735">
        <v>3017</v>
      </c>
      <c r="G10" s="735">
        <v>1609</v>
      </c>
      <c r="H10" s="1279">
        <f t="shared" si="0"/>
        <v>22597</v>
      </c>
      <c r="I10" s="747">
        <f t="shared" si="1"/>
        <v>2.6552197194317829E-4</v>
      </c>
      <c r="J10" s="747">
        <f t="shared" si="2"/>
        <v>0.21821480727530204</v>
      </c>
      <c r="K10" s="747">
        <f t="shared" si="3"/>
        <v>0.34141700225693677</v>
      </c>
      <c r="L10" s="747">
        <f t="shared" si="4"/>
        <v>0.23538522812762755</v>
      </c>
      <c r="M10" s="747">
        <f t="shared" si="5"/>
        <v>0.13351329822542815</v>
      </c>
      <c r="N10" s="751">
        <f t="shared" si="6"/>
        <v>7.1204142142762314E-2</v>
      </c>
    </row>
    <row r="11" spans="1:15" s="77" customFormat="1" ht="15.75">
      <c r="A11" s="683" t="s">
        <v>485</v>
      </c>
      <c r="B11" s="735">
        <v>18</v>
      </c>
      <c r="C11" s="735">
        <v>6875</v>
      </c>
      <c r="D11" s="735">
        <v>8611</v>
      </c>
      <c r="E11" s="735">
        <v>5883</v>
      </c>
      <c r="F11" s="735">
        <v>3457</v>
      </c>
      <c r="G11" s="735">
        <v>1844</v>
      </c>
      <c r="H11" s="1279">
        <f>SUM(B11:G11)</f>
        <v>26688</v>
      </c>
      <c r="I11" s="747">
        <f>B11/H11</f>
        <v>6.7446043165467629E-4</v>
      </c>
      <c r="J11" s="747">
        <f>C11/H11</f>
        <v>0.25760641486810554</v>
      </c>
      <c r="K11" s="747">
        <f>D11/H11</f>
        <v>0.32265437649880097</v>
      </c>
      <c r="L11" s="747">
        <f>E11/H11</f>
        <v>0.22043615107913669</v>
      </c>
      <c r="M11" s="747">
        <f>F11/H11</f>
        <v>0.12953387290167867</v>
      </c>
      <c r="N11" s="751">
        <f>G11/H11</f>
        <v>6.9094724220623502E-2</v>
      </c>
    </row>
    <row r="12" spans="1:15" s="77" customFormat="1" ht="15.75">
      <c r="A12" s="683" t="s">
        <v>573</v>
      </c>
      <c r="B12" s="735">
        <v>34</v>
      </c>
      <c r="C12" s="735">
        <v>8429</v>
      </c>
      <c r="D12" s="735">
        <v>8946</v>
      </c>
      <c r="E12" s="735">
        <v>5876</v>
      </c>
      <c r="F12" s="735">
        <v>3510</v>
      </c>
      <c r="G12" s="735">
        <v>1840</v>
      </c>
      <c r="H12" s="1279">
        <f>SUM(B12:G12)</f>
        <v>28635</v>
      </c>
      <c r="I12" s="747">
        <f>B12/H12</f>
        <v>1.1873581281648332E-3</v>
      </c>
      <c r="J12" s="747">
        <f>C12/H12</f>
        <v>0.29436004889121703</v>
      </c>
      <c r="K12" s="747">
        <f>D12/H12</f>
        <v>0.31241487689889996</v>
      </c>
      <c r="L12" s="747">
        <f>E12/H12</f>
        <v>0.20520342238519296</v>
      </c>
      <c r="M12" s="747">
        <f>F12/H12</f>
        <v>0.12257726558407543</v>
      </c>
      <c r="N12" s="751">
        <f>G12/H12</f>
        <v>6.4257028112449793E-2</v>
      </c>
    </row>
    <row r="13" spans="1:15" s="77" customFormat="1" ht="15.75">
      <c r="A13" s="683" t="s">
        <v>581</v>
      </c>
      <c r="B13" s="735">
        <v>80</v>
      </c>
      <c r="C13" s="735">
        <v>9624</v>
      </c>
      <c r="D13" s="735">
        <v>8806</v>
      </c>
      <c r="E13" s="735">
        <v>6269</v>
      </c>
      <c r="F13" s="735">
        <v>3876</v>
      </c>
      <c r="G13" s="735">
        <v>2377</v>
      </c>
      <c r="H13" s="1279">
        <f>SUM(B13:G13)</f>
        <v>31032</v>
      </c>
      <c r="I13" s="747">
        <f>B13/H13</f>
        <v>2.5779840164990978E-3</v>
      </c>
      <c r="J13" s="747">
        <f>C13/H13</f>
        <v>0.31013147718484146</v>
      </c>
      <c r="K13" s="747">
        <f>D13/H13</f>
        <v>0.28377159061613816</v>
      </c>
      <c r="L13" s="747">
        <f>E13/H13</f>
        <v>0.20201727249291054</v>
      </c>
      <c r="M13" s="747">
        <f>F13/H13</f>
        <v>0.12490332559938129</v>
      </c>
      <c r="N13" s="751">
        <f>G13/H13</f>
        <v>7.6598350090229445E-2</v>
      </c>
    </row>
    <row r="14" spans="1:15" s="77" customFormat="1" ht="15.75">
      <c r="A14" s="683" t="s">
        <v>969</v>
      </c>
      <c r="B14" s="735">
        <f>15+24+27+41+49+44</f>
        <v>200</v>
      </c>
      <c r="C14" s="735">
        <f>809+874+1104+982+1037+1118</f>
        <v>5924</v>
      </c>
      <c r="D14" s="735">
        <f>677+794+905+811+796+816</f>
        <v>4799</v>
      </c>
      <c r="E14" s="735">
        <f>411+501+603+539+572+525</f>
        <v>3151</v>
      </c>
      <c r="F14" s="735">
        <f>239+274+346+293+294+293</f>
        <v>1739</v>
      </c>
      <c r="G14" s="735">
        <f>97+123+153+113+131+129</f>
        <v>746</v>
      </c>
      <c r="H14" s="1279">
        <f>SUM(B14:G14)</f>
        <v>16559</v>
      </c>
      <c r="I14" s="747">
        <f>B14/H14</f>
        <v>1.207802403526783E-2</v>
      </c>
      <c r="J14" s="747">
        <f>C14/H14</f>
        <v>0.35775107192463312</v>
      </c>
      <c r="K14" s="747">
        <f>D14/H14</f>
        <v>0.28981218672625159</v>
      </c>
      <c r="L14" s="747">
        <f>E14/H14</f>
        <v>0.19028926867564466</v>
      </c>
      <c r="M14" s="747">
        <f>F14/H14</f>
        <v>0.10501841898665379</v>
      </c>
      <c r="N14" s="751">
        <f>G14/H14</f>
        <v>4.5051029651549009E-2</v>
      </c>
    </row>
    <row r="15" spans="1:15" s="77" customFormat="1" ht="15.75">
      <c r="A15" s="678" t="s">
        <v>23</v>
      </c>
      <c r="B15" s="748">
        <f>SUM(B4:B14)</f>
        <v>538</v>
      </c>
      <c r="C15" s="748">
        <f t="shared" ref="C15:H15" si="7">SUM(C4:C14)</f>
        <v>44490</v>
      </c>
      <c r="D15" s="748">
        <f t="shared" si="7"/>
        <v>61585</v>
      </c>
      <c r="E15" s="748">
        <f t="shared" si="7"/>
        <v>42403</v>
      </c>
      <c r="F15" s="748">
        <f t="shared" si="7"/>
        <v>24264</v>
      </c>
      <c r="G15" s="748">
        <f t="shared" si="7"/>
        <v>13157</v>
      </c>
      <c r="H15" s="1280">
        <f t="shared" si="7"/>
        <v>186437</v>
      </c>
      <c r="I15" s="749">
        <f t="shared" si="1"/>
        <v>2.8856932904949124E-3</v>
      </c>
      <c r="J15" s="749">
        <f t="shared" si="2"/>
        <v>0.2386328893942726</v>
      </c>
      <c r="K15" s="749">
        <f t="shared" si="3"/>
        <v>0.3303260618868572</v>
      </c>
      <c r="L15" s="749">
        <f t="shared" si="4"/>
        <v>0.22743875947370962</v>
      </c>
      <c r="M15" s="749">
        <f t="shared" si="5"/>
        <v>0.13014584014975569</v>
      </c>
      <c r="N15" s="750">
        <f t="shared" si="6"/>
        <v>7.0570755804909971E-2</v>
      </c>
    </row>
    <row r="16" spans="1:15" s="77" customFormat="1" ht="15.75">
      <c r="A16" s="1989" t="s">
        <v>773</v>
      </c>
      <c r="B16" s="1990"/>
      <c r="C16" s="1990"/>
      <c r="D16" s="1990"/>
      <c r="E16" s="1990"/>
      <c r="F16" s="1990"/>
      <c r="O16" s="165"/>
    </row>
    <row r="17" spans="10:10" s="77" customFormat="1">
      <c r="J17" s="222"/>
    </row>
    <row r="18" spans="10:10" s="77" customFormat="1"/>
    <row r="19" spans="10:10" s="77" customFormat="1"/>
    <row r="20" spans="10:10" s="77" customFormat="1"/>
    <row r="21" spans="10:10" s="77" customFormat="1"/>
    <row r="22" spans="10:10" s="77" customFormat="1"/>
    <row r="23" spans="10:10" s="77" customFormat="1"/>
    <row r="24" spans="10:10" s="77" customFormat="1"/>
    <row r="25" spans="10:10" s="77" customFormat="1"/>
    <row r="26" spans="10:10" s="77" customFormat="1"/>
  </sheetData>
  <mergeCells count="2">
    <mergeCell ref="A1:N1"/>
    <mergeCell ref="A16:F16"/>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6"/>
  <sheetViews>
    <sheetView showGridLines="0" view="pageBreakPreview" zoomScale="55" zoomScaleNormal="100" zoomScaleSheetLayoutView="55" workbookViewId="0">
      <selection activeCell="P18" sqref="P18"/>
    </sheetView>
  </sheetViews>
  <sheetFormatPr baseColWidth="10" defaultColWidth="11.42578125" defaultRowHeight="15"/>
  <cols>
    <col min="1" max="1" width="15.42578125" style="39" customWidth="1"/>
    <col min="2" max="2" width="12.140625" style="39" customWidth="1"/>
    <col min="3" max="3" width="11.7109375" style="39" customWidth="1"/>
    <col min="4" max="4" width="16.5703125" style="39" customWidth="1"/>
    <col min="5" max="5" width="12" style="39" customWidth="1"/>
    <col min="6" max="6" width="14.85546875" style="39" customWidth="1"/>
    <col min="7" max="7" width="17.28515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3" s="77" customFormat="1" ht="67.5" customHeight="1">
      <c r="A1" s="1882"/>
      <c r="B1" s="1882"/>
      <c r="C1" s="1882"/>
      <c r="D1" s="1882"/>
      <c r="E1" s="1882"/>
      <c r="F1" s="1882"/>
      <c r="G1" s="1882"/>
      <c r="H1" s="1882"/>
      <c r="I1" s="1882"/>
      <c r="J1" s="1882"/>
      <c r="K1" s="1882"/>
      <c r="L1" s="1882"/>
      <c r="M1" s="1882"/>
    </row>
    <row r="2" spans="1:13" s="77" customFormat="1" ht="3.75" customHeight="1">
      <c r="A2" s="141"/>
      <c r="B2" s="141"/>
      <c r="C2" s="141"/>
      <c r="D2" s="141"/>
      <c r="E2" s="141"/>
      <c r="F2" s="141"/>
      <c r="G2" s="141"/>
      <c r="H2" s="141"/>
      <c r="I2" s="141"/>
      <c r="J2" s="141"/>
      <c r="K2" s="141"/>
      <c r="L2" s="141"/>
      <c r="M2" s="141"/>
    </row>
    <row r="3" spans="1:13" s="141" customFormat="1" ht="31.5">
      <c r="A3" s="663" t="s">
        <v>0</v>
      </c>
      <c r="B3" s="668" t="s">
        <v>363</v>
      </c>
      <c r="C3" s="668" t="s">
        <v>362</v>
      </c>
      <c r="D3" s="668" t="s">
        <v>361</v>
      </c>
      <c r="E3" s="668" t="s">
        <v>360</v>
      </c>
      <c r="F3" s="668" t="s">
        <v>254</v>
      </c>
      <c r="G3" s="664" t="s">
        <v>143</v>
      </c>
      <c r="H3" s="668" t="s">
        <v>359</v>
      </c>
      <c r="I3" s="668" t="s">
        <v>358</v>
      </c>
      <c r="J3" s="668" t="s">
        <v>357</v>
      </c>
      <c r="K3" s="668" t="s">
        <v>356</v>
      </c>
      <c r="L3" s="669" t="s">
        <v>315</v>
      </c>
    </row>
    <row r="4" spans="1:13" s="77" customFormat="1" ht="15.75">
      <c r="A4" s="517">
        <v>2005</v>
      </c>
      <c r="B4" s="692">
        <v>15</v>
      </c>
      <c r="C4" s="692">
        <v>174</v>
      </c>
      <c r="D4" s="692">
        <v>220</v>
      </c>
      <c r="E4" s="692">
        <v>27</v>
      </c>
      <c r="F4" s="692">
        <v>3295</v>
      </c>
      <c r="G4" s="697">
        <f t="shared" ref="G4:G10" si="0">SUM(B4:F4)</f>
        <v>3731</v>
      </c>
      <c r="H4" s="638">
        <f t="shared" ref="H4:H15" si="1">B4/G4</f>
        <v>4.0203698740284106E-3</v>
      </c>
      <c r="I4" s="638">
        <f t="shared" ref="I4:I15" si="2">C4/G4</f>
        <v>4.6636290538729565E-2</v>
      </c>
      <c r="J4" s="638">
        <f t="shared" ref="J4:J15" si="3">D4/G4</f>
        <v>5.8965424819083359E-2</v>
      </c>
      <c r="K4" s="638">
        <f t="shared" ref="K4:K15" si="4">E4/G4</f>
        <v>7.2366657732511391E-3</v>
      </c>
      <c r="L4" s="696">
        <f t="shared" ref="L4:L15" si="5">F4/G4</f>
        <v>0.88314124899490754</v>
      </c>
    </row>
    <row r="5" spans="1:13" s="77" customFormat="1" ht="15.75">
      <c r="A5" s="517" t="s">
        <v>261</v>
      </c>
      <c r="B5" s="692">
        <v>25</v>
      </c>
      <c r="C5" s="692">
        <v>306</v>
      </c>
      <c r="D5" s="692">
        <v>376</v>
      </c>
      <c r="E5" s="692">
        <v>49</v>
      </c>
      <c r="F5" s="692">
        <v>4779</v>
      </c>
      <c r="G5" s="697">
        <f t="shared" si="0"/>
        <v>5535</v>
      </c>
      <c r="H5" s="638">
        <f t="shared" si="1"/>
        <v>4.5167118337850042E-3</v>
      </c>
      <c r="I5" s="638">
        <f t="shared" si="2"/>
        <v>5.5284552845528454E-2</v>
      </c>
      <c r="J5" s="638">
        <f t="shared" si="3"/>
        <v>6.793134598012647E-2</v>
      </c>
      <c r="K5" s="638">
        <f t="shared" si="4"/>
        <v>8.8527551942186086E-3</v>
      </c>
      <c r="L5" s="696">
        <f t="shared" si="5"/>
        <v>0.86341463414634145</v>
      </c>
    </row>
    <row r="6" spans="1:13" s="77" customFormat="1" ht="15.75">
      <c r="A6" s="517" t="s">
        <v>177</v>
      </c>
      <c r="B6" s="692">
        <v>155</v>
      </c>
      <c r="C6" s="692">
        <v>823</v>
      </c>
      <c r="D6" s="692">
        <v>951</v>
      </c>
      <c r="E6" s="692">
        <v>190</v>
      </c>
      <c r="F6" s="692">
        <v>6425</v>
      </c>
      <c r="G6" s="697">
        <f t="shared" si="0"/>
        <v>8544</v>
      </c>
      <c r="H6" s="638">
        <f t="shared" si="1"/>
        <v>1.8141385767790261E-2</v>
      </c>
      <c r="I6" s="638">
        <f t="shared" si="2"/>
        <v>9.6324906367041205E-2</v>
      </c>
      <c r="J6" s="638">
        <f t="shared" si="3"/>
        <v>0.1113061797752809</v>
      </c>
      <c r="K6" s="638">
        <f t="shared" si="4"/>
        <v>2.2237827715355804E-2</v>
      </c>
      <c r="L6" s="696">
        <f t="shared" si="5"/>
        <v>0.75198970037453183</v>
      </c>
    </row>
    <row r="7" spans="1:13" s="77" customFormat="1" ht="15.75">
      <c r="A7" s="517" t="s">
        <v>232</v>
      </c>
      <c r="B7" s="692">
        <v>429</v>
      </c>
      <c r="C7" s="692">
        <v>3165</v>
      </c>
      <c r="D7" s="692">
        <v>4060</v>
      </c>
      <c r="E7" s="692">
        <v>874</v>
      </c>
      <c r="F7" s="692">
        <v>2449</v>
      </c>
      <c r="G7" s="697">
        <f t="shared" si="0"/>
        <v>10977</v>
      </c>
      <c r="H7" s="638">
        <f t="shared" si="1"/>
        <v>3.9081716315933317E-2</v>
      </c>
      <c r="I7" s="638">
        <f t="shared" si="2"/>
        <v>0.2883301448483192</v>
      </c>
      <c r="J7" s="638">
        <f t="shared" si="3"/>
        <v>0.36986426163797032</v>
      </c>
      <c r="K7" s="638">
        <f t="shared" si="4"/>
        <v>7.9621025781178828E-2</v>
      </c>
      <c r="L7" s="696">
        <f t="shared" si="5"/>
        <v>0.22310285141659833</v>
      </c>
    </row>
    <row r="8" spans="1:13" s="77" customFormat="1" ht="15.75">
      <c r="A8" s="517" t="s">
        <v>233</v>
      </c>
      <c r="B8" s="692">
        <v>480</v>
      </c>
      <c r="C8" s="692">
        <v>5693</v>
      </c>
      <c r="D8" s="692">
        <v>7010</v>
      </c>
      <c r="E8" s="692">
        <v>1500</v>
      </c>
      <c r="F8" s="692">
        <v>0</v>
      </c>
      <c r="G8" s="697">
        <f t="shared" si="0"/>
        <v>14683</v>
      </c>
      <c r="H8" s="638">
        <f t="shared" si="1"/>
        <v>3.2690866989034936E-2</v>
      </c>
      <c r="I8" s="638">
        <f t="shared" si="2"/>
        <v>0.38772730368453312</v>
      </c>
      <c r="J8" s="638">
        <f t="shared" si="3"/>
        <v>0.47742286998569777</v>
      </c>
      <c r="K8" s="638">
        <f t="shared" si="4"/>
        <v>0.10215895934073418</v>
      </c>
      <c r="L8" s="696">
        <f t="shared" si="5"/>
        <v>0</v>
      </c>
    </row>
    <row r="9" spans="1:13" s="77" customFormat="1" ht="15.75">
      <c r="A9" s="517" t="s">
        <v>196</v>
      </c>
      <c r="B9" s="692">
        <v>467</v>
      </c>
      <c r="C9" s="692">
        <v>6918</v>
      </c>
      <c r="D9" s="692">
        <v>8285</v>
      </c>
      <c r="E9" s="692">
        <v>1785</v>
      </c>
      <c r="F9" s="692">
        <v>1</v>
      </c>
      <c r="G9" s="697">
        <f t="shared" si="0"/>
        <v>17456</v>
      </c>
      <c r="H9" s="638">
        <f t="shared" si="1"/>
        <v>2.6752978918423466E-2</v>
      </c>
      <c r="I9" s="638">
        <f t="shared" si="2"/>
        <v>0.39631072410632445</v>
      </c>
      <c r="J9" s="638">
        <f t="shared" si="3"/>
        <v>0.47462190650779101</v>
      </c>
      <c r="K9" s="638">
        <f t="shared" si="4"/>
        <v>0.10225710357470211</v>
      </c>
      <c r="L9" s="696">
        <f t="shared" si="5"/>
        <v>5.7286892758936757E-5</v>
      </c>
    </row>
    <row r="10" spans="1:13" s="77" customFormat="1" ht="15.75">
      <c r="A10" s="517">
        <v>2011</v>
      </c>
      <c r="B10" s="692">
        <v>628</v>
      </c>
      <c r="C10" s="692">
        <v>8566</v>
      </c>
      <c r="D10" s="692">
        <v>11097</v>
      </c>
      <c r="E10" s="692">
        <v>2299</v>
      </c>
      <c r="F10" s="692">
        <v>7</v>
      </c>
      <c r="G10" s="697">
        <f t="shared" si="0"/>
        <v>22597</v>
      </c>
      <c r="H10" s="638">
        <f t="shared" si="1"/>
        <v>2.7791299730052663E-2</v>
      </c>
      <c r="I10" s="638">
        <f t="shared" si="2"/>
        <v>0.37907686861087753</v>
      </c>
      <c r="J10" s="638">
        <f t="shared" si="3"/>
        <v>0.49108288710890824</v>
      </c>
      <c r="K10" s="638">
        <f t="shared" si="4"/>
        <v>0.10173916891622782</v>
      </c>
      <c r="L10" s="696">
        <f t="shared" si="5"/>
        <v>3.0977563393370803E-4</v>
      </c>
    </row>
    <row r="11" spans="1:13" s="77" customFormat="1" ht="16.5" customHeight="1">
      <c r="A11" s="517" t="s">
        <v>485</v>
      </c>
      <c r="B11" s="692">
        <v>938</v>
      </c>
      <c r="C11" s="692">
        <v>9676</v>
      </c>
      <c r="D11" s="692">
        <v>13383</v>
      </c>
      <c r="E11" s="692">
        <v>2656</v>
      </c>
      <c r="F11" s="692">
        <v>35</v>
      </c>
      <c r="G11" s="697">
        <f>SUM(B11:F11)</f>
        <v>26688</v>
      </c>
      <c r="H11" s="638">
        <f>B11/G11</f>
        <v>3.5146882494004793E-2</v>
      </c>
      <c r="I11" s="638">
        <f>C11/G11</f>
        <v>0.36255995203836933</v>
      </c>
      <c r="J11" s="638">
        <f>D11/G11</f>
        <v>0.5014613309352518</v>
      </c>
      <c r="K11" s="638">
        <f>E11/G11</f>
        <v>9.9520383693045569E-2</v>
      </c>
      <c r="L11" s="696">
        <f>F11/G11</f>
        <v>1.3114508393285373E-3</v>
      </c>
    </row>
    <row r="12" spans="1:13" s="77" customFormat="1" ht="15.75">
      <c r="A12" s="517" t="s">
        <v>573</v>
      </c>
      <c r="B12" s="692">
        <v>1292</v>
      </c>
      <c r="C12" s="692">
        <v>9365</v>
      </c>
      <c r="D12" s="692">
        <v>15118</v>
      </c>
      <c r="E12" s="692">
        <v>2851</v>
      </c>
      <c r="F12" s="692">
        <v>9</v>
      </c>
      <c r="G12" s="697">
        <f>SUM(B12:F12)</f>
        <v>28635</v>
      </c>
      <c r="H12" s="638">
        <f>B12/G12</f>
        <v>4.5119608870263665E-2</v>
      </c>
      <c r="I12" s="638">
        <f>C12/G12</f>
        <v>0.32704731971363715</v>
      </c>
      <c r="J12" s="638">
        <f>D12/G12</f>
        <v>0.52795529945870434</v>
      </c>
      <c r="K12" s="638">
        <f>E12/G12</f>
        <v>9.9563471276409993E-2</v>
      </c>
      <c r="L12" s="696">
        <f>F12/G12</f>
        <v>3.143006809848088E-4</v>
      </c>
    </row>
    <row r="13" spans="1:13" s="77" customFormat="1" ht="15.75">
      <c r="A13" s="517" t="s">
        <v>581</v>
      </c>
      <c r="B13" s="692">
        <v>817</v>
      </c>
      <c r="C13" s="692">
        <v>10565</v>
      </c>
      <c r="D13" s="692">
        <v>16396</v>
      </c>
      <c r="E13" s="692">
        <v>3252</v>
      </c>
      <c r="F13" s="692">
        <v>2</v>
      </c>
      <c r="G13" s="697">
        <f>SUM(B13:F13)</f>
        <v>31032</v>
      </c>
      <c r="H13" s="638">
        <f>B13/G13</f>
        <v>2.6327661768497036E-2</v>
      </c>
      <c r="I13" s="638">
        <f>C13/G13</f>
        <v>0.34045501417891211</v>
      </c>
      <c r="J13" s="638">
        <f>D13/G13</f>
        <v>0.52835782418149002</v>
      </c>
      <c r="K13" s="638">
        <f>E13/G13</f>
        <v>0.10479505027068832</v>
      </c>
      <c r="L13" s="696">
        <f>F13/G13</f>
        <v>6.4449600412477446E-5</v>
      </c>
    </row>
    <row r="14" spans="1:13" s="77" customFormat="1" ht="15.75">
      <c r="A14" s="517" t="s">
        <v>968</v>
      </c>
      <c r="B14" s="692">
        <f>69+58+80+59+64+63</f>
        <v>393</v>
      </c>
      <c r="C14" s="692">
        <f>681+773+926+804+828+1037</f>
        <v>5049</v>
      </c>
      <c r="D14" s="692">
        <f>1309+1465+1739+1649+1695+1519</f>
        <v>9376</v>
      </c>
      <c r="E14" s="692">
        <f>189+294+392+267+292+306</f>
        <v>1740</v>
      </c>
      <c r="F14" s="692">
        <v>1</v>
      </c>
      <c r="G14" s="698">
        <f>SUM(B14:F14)</f>
        <v>16559</v>
      </c>
      <c r="H14" s="638">
        <f>B14/G14</f>
        <v>2.3733317229301287E-2</v>
      </c>
      <c r="I14" s="638">
        <f>C14/G14</f>
        <v>0.30490971677033635</v>
      </c>
      <c r="J14" s="638">
        <f>D14/G14</f>
        <v>0.56621776677335589</v>
      </c>
      <c r="K14" s="638">
        <f>E14/G14</f>
        <v>0.10507880910683012</v>
      </c>
      <c r="L14" s="696">
        <f>F14/G14</f>
        <v>6.0390120176339152E-5</v>
      </c>
    </row>
    <row r="15" spans="1:13" s="77" customFormat="1" ht="15.75">
      <c r="A15" s="691" t="s">
        <v>23</v>
      </c>
      <c r="B15" s="693">
        <f t="shared" ref="B15:G15" si="6">SUM(B4:B14)</f>
        <v>5639</v>
      </c>
      <c r="C15" s="693">
        <f t="shared" si="6"/>
        <v>60300</v>
      </c>
      <c r="D15" s="693">
        <f t="shared" si="6"/>
        <v>86272</v>
      </c>
      <c r="E15" s="693">
        <f t="shared" si="6"/>
        <v>17223</v>
      </c>
      <c r="F15" s="693">
        <f t="shared" si="6"/>
        <v>17003</v>
      </c>
      <c r="G15" s="690">
        <f t="shared" si="6"/>
        <v>186437</v>
      </c>
      <c r="H15" s="694">
        <f t="shared" si="1"/>
        <v>3.0246142128440172E-2</v>
      </c>
      <c r="I15" s="694">
        <f t="shared" si="2"/>
        <v>0.32343365319115841</v>
      </c>
      <c r="J15" s="694">
        <f t="shared" si="3"/>
        <v>0.46274076497690908</v>
      </c>
      <c r="K15" s="694">
        <f t="shared" si="4"/>
        <v>9.2379731491066694E-2</v>
      </c>
      <c r="L15" s="695">
        <f t="shared" si="5"/>
        <v>9.1199708212425651E-2</v>
      </c>
    </row>
    <row r="16" spans="1:13" s="77" customFormat="1">
      <c r="A16" s="150"/>
    </row>
    <row r="17" spans="1:12" s="77" customFormat="1">
      <c r="A17" s="150"/>
    </row>
    <row r="18" spans="1:12" s="77" customFormat="1">
      <c r="A18" s="150"/>
      <c r="B18" s="149"/>
      <c r="C18" s="149"/>
      <c r="D18" s="149"/>
      <c r="E18" s="149"/>
      <c r="F18" s="149"/>
    </row>
    <row r="19" spans="1:12" s="77" customFormat="1">
      <c r="A19" s="150"/>
      <c r="B19" s="149"/>
      <c r="C19" s="149"/>
      <c r="D19" s="149"/>
      <c r="E19" s="149"/>
      <c r="F19" s="149"/>
    </row>
    <row r="20" spans="1:12" s="77" customFormat="1"/>
    <row r="21" spans="1:12" s="77" customFormat="1"/>
    <row r="22" spans="1:12" s="77" customFormat="1"/>
    <row r="23" spans="1:12" s="77" customFormat="1"/>
    <row r="24" spans="1:12" s="77" customFormat="1"/>
    <row r="25" spans="1:12" s="77" customFormat="1"/>
    <row r="26" spans="1:12">
      <c r="A26" s="77"/>
      <c r="B26" s="77"/>
      <c r="C26" s="77"/>
      <c r="D26" s="77"/>
      <c r="E26" s="77"/>
      <c r="F26" s="77"/>
      <c r="G26" s="77"/>
      <c r="H26" s="77"/>
      <c r="I26" s="77"/>
      <c r="J26" s="77"/>
      <c r="K26" s="77"/>
      <c r="L26" s="77"/>
    </row>
  </sheetData>
  <mergeCells count="1">
    <mergeCell ref="A1:M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7"/>
  <sheetViews>
    <sheetView showGridLines="0" view="pageBreakPreview" zoomScale="70" zoomScaleNormal="100" zoomScaleSheetLayoutView="70" workbookViewId="0">
      <selection activeCell="M11" sqref="M11"/>
    </sheetView>
  </sheetViews>
  <sheetFormatPr baseColWidth="10" defaultColWidth="11.42578125" defaultRowHeight="15"/>
  <cols>
    <col min="1" max="1" width="15.42578125" style="39" customWidth="1"/>
    <col min="2" max="2" width="11.28515625" style="39" customWidth="1"/>
    <col min="3" max="3" width="14" style="39" customWidth="1"/>
    <col min="4" max="4" width="13.85546875" style="39" customWidth="1"/>
    <col min="5" max="5" width="12.7109375" style="39" customWidth="1"/>
    <col min="6" max="6" width="15" style="39" customWidth="1"/>
    <col min="7" max="7" width="14.5703125" style="39" customWidth="1"/>
    <col min="8" max="8" width="15.28515625" style="39" customWidth="1"/>
    <col min="9" max="9" width="15" style="39" customWidth="1"/>
    <col min="10" max="10" width="17.140625" style="39" customWidth="1"/>
    <col min="11" max="12" width="18.42578125" style="39" customWidth="1"/>
    <col min="13" max="13" width="36.42578125" style="39" customWidth="1"/>
    <col min="14" max="16384" width="11.42578125" style="39"/>
  </cols>
  <sheetData>
    <row r="1" spans="1:13" s="77" customFormat="1" ht="68.25" customHeight="1">
      <c r="A1" s="1988"/>
      <c r="B1" s="1988"/>
      <c r="C1" s="1988"/>
      <c r="D1" s="1988"/>
      <c r="E1" s="1988"/>
      <c r="F1" s="1988"/>
      <c r="G1" s="1988"/>
      <c r="H1" s="1988"/>
      <c r="I1" s="1988"/>
      <c r="J1" s="1988"/>
      <c r="K1" s="1988"/>
      <c r="L1" s="1988"/>
    </row>
    <row r="2" spans="1:13" s="38" customFormat="1" ht="4.5" customHeight="1">
      <c r="A2" s="701"/>
      <c r="B2" s="185"/>
      <c r="C2" s="185"/>
      <c r="D2" s="185"/>
      <c r="E2" s="185"/>
      <c r="F2" s="185"/>
      <c r="G2" s="185"/>
      <c r="H2" s="185"/>
      <c r="I2" s="185"/>
      <c r="J2" s="185"/>
      <c r="K2" s="185"/>
      <c r="L2" s="185"/>
    </row>
    <row r="3" spans="1:13" s="77" customFormat="1" ht="50.25" customHeight="1">
      <c r="A3" s="699" t="s">
        <v>0</v>
      </c>
      <c r="B3" s="705" t="s">
        <v>324</v>
      </c>
      <c r="C3" s="681" t="s">
        <v>323</v>
      </c>
      <c r="D3" s="681" t="s">
        <v>143</v>
      </c>
      <c r="E3" s="681" t="s">
        <v>322</v>
      </c>
      <c r="F3" s="681" t="s">
        <v>321</v>
      </c>
      <c r="G3" s="705" t="s">
        <v>327</v>
      </c>
      <c r="H3" s="681" t="s">
        <v>326</v>
      </c>
      <c r="I3" s="681" t="s">
        <v>325</v>
      </c>
      <c r="J3" s="681" t="s">
        <v>465</v>
      </c>
      <c r="K3" s="682" t="s">
        <v>466</v>
      </c>
    </row>
    <row r="4" spans="1:13" s="77" customFormat="1" ht="15.75" hidden="1">
      <c r="A4" s="968" t="s">
        <v>262</v>
      </c>
      <c r="B4" s="1483">
        <v>90</v>
      </c>
      <c r="C4" s="1484">
        <v>3640</v>
      </c>
      <c r="D4" s="969">
        <f t="shared" ref="D4:D14" si="0">SUM(B4:C4)</f>
        <v>3730</v>
      </c>
      <c r="E4" s="1485">
        <f t="shared" ref="E4:E15" si="1">B4/D4</f>
        <v>2.4128686327077747E-2</v>
      </c>
      <c r="F4" s="1485">
        <f t="shared" ref="F4:F15" si="2">C4/D4</f>
        <v>0.97587131367292224</v>
      </c>
      <c r="G4" s="1596"/>
      <c r="H4" s="970"/>
      <c r="I4" s="970"/>
      <c r="J4" s="970"/>
      <c r="K4" s="971"/>
    </row>
    <row r="5" spans="1:13" s="77" customFormat="1" ht="15.75" hidden="1">
      <c r="A5" s="968" t="s">
        <v>261</v>
      </c>
      <c r="B5" s="1483">
        <v>253</v>
      </c>
      <c r="C5" s="1484">
        <v>5282</v>
      </c>
      <c r="D5" s="969">
        <f t="shared" si="0"/>
        <v>5535</v>
      </c>
      <c r="E5" s="1485">
        <f t="shared" si="1"/>
        <v>4.5709123757904244E-2</v>
      </c>
      <c r="F5" s="1485">
        <f t="shared" si="2"/>
        <v>0.95429087624209574</v>
      </c>
      <c r="G5" s="1596"/>
      <c r="H5" s="970"/>
      <c r="I5" s="970"/>
      <c r="J5" s="970"/>
      <c r="K5" s="971"/>
    </row>
    <row r="6" spans="1:13" s="77" customFormat="1" ht="15.75" hidden="1">
      <c r="A6" s="968" t="s">
        <v>177</v>
      </c>
      <c r="B6" s="1483">
        <v>445</v>
      </c>
      <c r="C6" s="1484">
        <v>8099</v>
      </c>
      <c r="D6" s="969">
        <f t="shared" si="0"/>
        <v>8544</v>
      </c>
      <c r="E6" s="1485">
        <f t="shared" si="1"/>
        <v>5.2083333333333336E-2</v>
      </c>
      <c r="F6" s="1485">
        <f t="shared" si="2"/>
        <v>0.94791666666666663</v>
      </c>
      <c r="G6" s="1596"/>
      <c r="H6" s="970"/>
      <c r="I6" s="970"/>
      <c r="J6" s="970"/>
      <c r="K6" s="971"/>
    </row>
    <row r="7" spans="1:13" s="77" customFormat="1" ht="15.75">
      <c r="A7" s="706" t="s">
        <v>232</v>
      </c>
      <c r="B7" s="1486">
        <v>660</v>
      </c>
      <c r="C7" s="501">
        <v>10317</v>
      </c>
      <c r="D7" s="702">
        <f t="shared" si="0"/>
        <v>10977</v>
      </c>
      <c r="E7" s="1487">
        <f t="shared" si="1"/>
        <v>6.0125717409128178E-2</v>
      </c>
      <c r="F7" s="1487">
        <f t="shared" si="2"/>
        <v>0.9398742825908718</v>
      </c>
      <c r="G7" s="1597">
        <f>201642+123254</f>
        <v>324896</v>
      </c>
      <c r="H7" s="1488">
        <v>863333</v>
      </c>
      <c r="I7" s="1489">
        <f t="shared" ref="I7:I13" si="3">SUM(G7:H7)</f>
        <v>1188229</v>
      </c>
      <c r="J7" s="1487">
        <f>B7/G7</f>
        <v>2.0314192849404116E-3</v>
      </c>
      <c r="K7" s="1490">
        <f>C7/H7</f>
        <v>1.1950197664168983E-2</v>
      </c>
    </row>
    <row r="8" spans="1:13" s="77" customFormat="1" ht="15.75">
      <c r="A8" s="706" t="s">
        <v>233</v>
      </c>
      <c r="B8" s="1486">
        <v>986</v>
      </c>
      <c r="C8" s="501">
        <v>13698</v>
      </c>
      <c r="D8" s="702">
        <f t="shared" si="0"/>
        <v>14684</v>
      </c>
      <c r="E8" s="1487">
        <f t="shared" si="1"/>
        <v>6.7147916099155547E-2</v>
      </c>
      <c r="F8" s="1487">
        <f t="shared" si="2"/>
        <v>0.93285208390084451</v>
      </c>
      <c r="G8" s="1597">
        <v>357975</v>
      </c>
      <c r="H8" s="1488">
        <v>869750</v>
      </c>
      <c r="I8" s="1489">
        <f t="shared" si="3"/>
        <v>1227725</v>
      </c>
      <c r="J8" s="1487">
        <f t="shared" ref="J8:K11" si="4">B8/G8</f>
        <v>2.7543822892660101E-3</v>
      </c>
      <c r="K8" s="1490">
        <f t="shared" si="4"/>
        <v>1.5749353262431733E-2</v>
      </c>
    </row>
    <row r="9" spans="1:13" s="77" customFormat="1" ht="15.75">
      <c r="A9" s="706" t="s">
        <v>196</v>
      </c>
      <c r="B9" s="1486">
        <v>1477</v>
      </c>
      <c r="C9" s="501">
        <v>15979</v>
      </c>
      <c r="D9" s="702">
        <f t="shared" si="0"/>
        <v>17456</v>
      </c>
      <c r="E9" s="1487">
        <f t="shared" si="1"/>
        <v>8.4612740604949582E-2</v>
      </c>
      <c r="F9" s="1487">
        <f t="shared" si="2"/>
        <v>0.91538725939505039</v>
      </c>
      <c r="G9" s="1597">
        <v>355259</v>
      </c>
      <c r="H9" s="1488">
        <v>943828</v>
      </c>
      <c r="I9" s="1489">
        <f t="shared" si="3"/>
        <v>1299087</v>
      </c>
      <c r="J9" s="1487">
        <f t="shared" si="4"/>
        <v>4.1575301399823794E-3</v>
      </c>
      <c r="K9" s="1490">
        <f t="shared" si="4"/>
        <v>1.6929991481498749E-2</v>
      </c>
      <c r="M9" s="39"/>
    </row>
    <row r="10" spans="1:13" s="77" customFormat="1" ht="15.75">
      <c r="A10" s="706" t="s">
        <v>234</v>
      </c>
      <c r="B10" s="1486">
        <v>2094</v>
      </c>
      <c r="C10" s="501">
        <v>20503</v>
      </c>
      <c r="D10" s="702">
        <f t="shared" si="0"/>
        <v>22597</v>
      </c>
      <c r="E10" s="1487">
        <f t="shared" si="1"/>
        <v>9.2667168208169226E-2</v>
      </c>
      <c r="F10" s="1487">
        <f t="shared" si="2"/>
        <v>0.90733283179183077</v>
      </c>
      <c r="G10" s="1597">
        <v>369264</v>
      </c>
      <c r="H10" s="1488">
        <v>998527</v>
      </c>
      <c r="I10" s="1489">
        <f t="shared" si="3"/>
        <v>1367791</v>
      </c>
      <c r="J10" s="1487">
        <f t="shared" si="4"/>
        <v>5.6707396334329911E-3</v>
      </c>
      <c r="K10" s="1490">
        <f t="shared" si="4"/>
        <v>2.0533245470578162E-2</v>
      </c>
      <c r="M10" s="39"/>
    </row>
    <row r="11" spans="1:13" s="77" customFormat="1" ht="15.75">
      <c r="A11" s="706" t="s">
        <v>485</v>
      </c>
      <c r="B11" s="1486">
        <v>3858</v>
      </c>
      <c r="C11" s="501">
        <v>22830</v>
      </c>
      <c r="D11" s="702">
        <f t="shared" si="0"/>
        <v>26688</v>
      </c>
      <c r="E11" s="1487">
        <f t="shared" si="1"/>
        <v>0.1445593525179856</v>
      </c>
      <c r="F11" s="1487">
        <f t="shared" si="2"/>
        <v>0.85544064748201443</v>
      </c>
      <c r="G11" s="1597">
        <f>156354+235330</f>
        <v>391684</v>
      </c>
      <c r="H11" s="1488">
        <v>1035050</v>
      </c>
      <c r="I11" s="1489">
        <f t="shared" si="3"/>
        <v>1426734</v>
      </c>
      <c r="J11" s="1487">
        <f t="shared" si="4"/>
        <v>9.8497768609389202E-3</v>
      </c>
      <c r="K11" s="1490">
        <f t="shared" si="4"/>
        <v>2.2056905463504178E-2</v>
      </c>
      <c r="M11" s="39"/>
    </row>
    <row r="12" spans="1:13" s="77" customFormat="1" ht="18.75" customHeight="1">
      <c r="A12" s="706" t="s">
        <v>573</v>
      </c>
      <c r="B12" s="1486">
        <v>4451</v>
      </c>
      <c r="C12" s="501">
        <v>24184</v>
      </c>
      <c r="D12" s="702">
        <f t="shared" si="0"/>
        <v>28635</v>
      </c>
      <c r="E12" s="1487">
        <f t="shared" si="1"/>
        <v>0.15543914789593155</v>
      </c>
      <c r="F12" s="1487">
        <f t="shared" si="2"/>
        <v>0.84456085210406839</v>
      </c>
      <c r="G12" s="1597">
        <f>166811+249006</f>
        <v>415817</v>
      </c>
      <c r="H12" s="1488">
        <v>1110841</v>
      </c>
      <c r="I12" s="1489">
        <f t="shared" si="3"/>
        <v>1526658</v>
      </c>
      <c r="J12" s="1487">
        <f t="shared" ref="J12:K14" si="5">B12/G12</f>
        <v>1.0704228061863753E-2</v>
      </c>
      <c r="K12" s="1490">
        <f t="shared" si="5"/>
        <v>2.1770892503967715E-2</v>
      </c>
      <c r="M12" s="39"/>
    </row>
    <row r="13" spans="1:13" s="77" customFormat="1" ht="18" customHeight="1">
      <c r="A13" s="706" t="s">
        <v>581</v>
      </c>
      <c r="B13" s="1486">
        <v>5112</v>
      </c>
      <c r="C13" s="501">
        <v>25920</v>
      </c>
      <c r="D13" s="702">
        <f t="shared" si="0"/>
        <v>31032</v>
      </c>
      <c r="E13" s="1487">
        <f t="shared" si="1"/>
        <v>0.16473317865429235</v>
      </c>
      <c r="F13" s="1487">
        <f t="shared" si="2"/>
        <v>0.83526682134570762</v>
      </c>
      <c r="G13" s="1597">
        <f>176595+281039</f>
        <v>457634</v>
      </c>
      <c r="H13" s="1488">
        <v>1193568</v>
      </c>
      <c r="I13" s="1489">
        <f t="shared" si="3"/>
        <v>1651202</v>
      </c>
      <c r="J13" s="1487">
        <f t="shared" si="5"/>
        <v>1.1170498695464061E-2</v>
      </c>
      <c r="K13" s="1490">
        <f t="shared" si="5"/>
        <v>2.1716399903482668E-2</v>
      </c>
      <c r="M13" s="168"/>
    </row>
    <row r="14" spans="1:13" s="77" customFormat="1" ht="13.5" customHeight="1">
      <c r="A14" s="706" t="s">
        <v>968</v>
      </c>
      <c r="B14" s="1491">
        <f>+'V.4.6. NA.Cant. accid x sector'!B14</f>
        <v>2696</v>
      </c>
      <c r="C14" s="1492">
        <f>+'V.4.6. NA.Cant. accid x sector'!C14</f>
        <v>13863</v>
      </c>
      <c r="D14" s="707">
        <f t="shared" si="0"/>
        <v>16559</v>
      </c>
      <c r="E14" s="1493">
        <f t="shared" si="1"/>
        <v>0.16281176399541036</v>
      </c>
      <c r="F14" s="1493">
        <f t="shared" si="2"/>
        <v>0.83718823600458969</v>
      </c>
      <c r="G14" s="1737">
        <f>184686+284447</f>
        <v>469133</v>
      </c>
      <c r="H14" s="1738">
        <v>1237651</v>
      </c>
      <c r="I14" s="1494">
        <f>SUM(G14:H14)</f>
        <v>1706784</v>
      </c>
      <c r="J14" s="1493">
        <f t="shared" si="5"/>
        <v>5.7467711715014722E-3</v>
      </c>
      <c r="K14" s="1495">
        <f t="shared" si="5"/>
        <v>1.1201057487126824E-2</v>
      </c>
      <c r="M14" s="39"/>
    </row>
    <row r="15" spans="1:13" s="77" customFormat="1" ht="15.75">
      <c r="A15" s="699" t="s">
        <v>23</v>
      </c>
      <c r="B15" s="707">
        <f>SUM(B4:B14)</f>
        <v>22122</v>
      </c>
      <c r="C15" s="707">
        <f>SUM(C4:C14)</f>
        <v>164315</v>
      </c>
      <c r="D15" s="707">
        <f>SUM(D7:D14)</f>
        <v>168628</v>
      </c>
      <c r="E15" s="1493">
        <f t="shared" si="1"/>
        <v>0.13118817752686388</v>
      </c>
      <c r="F15" s="1495">
        <f t="shared" si="2"/>
        <v>0.97442299025072943</v>
      </c>
      <c r="G15" s="1469"/>
      <c r="H15" s="1469"/>
      <c r="I15" s="1469"/>
      <c r="J15" s="1469"/>
      <c r="K15" s="1469"/>
      <c r="L15" s="39"/>
    </row>
    <row r="16" spans="1:13" s="77" customFormat="1">
      <c r="B16" s="196"/>
      <c r="C16" s="196"/>
      <c r="D16" s="196"/>
      <c r="K16" s="39"/>
      <c r="L16" s="39"/>
    </row>
    <row r="17" spans="1:12" s="77" customFormat="1">
      <c r="K17" s="39"/>
      <c r="L17" s="39"/>
    </row>
    <row r="18" spans="1:12" s="77" customFormat="1"/>
    <row r="19" spans="1:12" s="77" customFormat="1"/>
    <row r="20" spans="1:12" s="77" customFormat="1"/>
    <row r="21" spans="1:12" s="77" customFormat="1"/>
    <row r="22" spans="1:12" s="77" customFormat="1"/>
    <row r="23" spans="1:12" s="77" customFormat="1"/>
    <row r="24" spans="1:12" s="77" customFormat="1"/>
    <row r="25" spans="1:12" s="77" customFormat="1"/>
    <row r="26" spans="1:12">
      <c r="A26" s="77"/>
      <c r="B26" s="77"/>
      <c r="C26" s="77"/>
      <c r="D26" s="77"/>
      <c r="E26" s="77"/>
      <c r="F26" s="77"/>
    </row>
    <row r="27" spans="1:12">
      <c r="K27" s="148"/>
    </row>
  </sheetData>
  <mergeCells count="1">
    <mergeCell ref="A1:L1"/>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N47"/>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6.28515625" style="39" customWidth="1"/>
    <col min="2" max="3" width="14.140625" style="39" customWidth="1"/>
    <col min="4" max="4" width="13.85546875" style="39" customWidth="1"/>
    <col min="5" max="5" width="14.42578125" style="39" customWidth="1"/>
    <col min="6" max="6" width="14.7109375" style="39" customWidth="1"/>
    <col min="7" max="7" width="14.140625" style="39" customWidth="1"/>
    <col min="8" max="8" width="16.7109375" style="39" customWidth="1"/>
    <col min="9" max="9" width="17.28515625" style="39" customWidth="1"/>
    <col min="10" max="10" width="19.140625" style="39" customWidth="1"/>
    <col min="11" max="11" width="16.7109375" style="39" customWidth="1"/>
    <col min="12" max="12" width="14.42578125" style="39" customWidth="1"/>
    <col min="13" max="16384" width="11.42578125" style="39"/>
  </cols>
  <sheetData>
    <row r="1" spans="1:14" s="77" customFormat="1" ht="66" customHeight="1">
      <c r="A1" s="1863"/>
      <c r="B1" s="1863"/>
      <c r="C1" s="1863"/>
      <c r="D1" s="1863"/>
      <c r="E1" s="1863"/>
      <c r="F1" s="1863"/>
      <c r="G1" s="1863"/>
      <c r="H1" s="1863"/>
      <c r="I1" s="1863"/>
      <c r="J1" s="1863"/>
      <c r="K1" s="1863"/>
      <c r="L1" s="1863"/>
    </row>
    <row r="2" spans="1:14" s="77" customFormat="1" ht="14.25" customHeight="1">
      <c r="A2" s="162"/>
      <c r="B2" s="162"/>
      <c r="C2" s="162"/>
      <c r="D2" s="162"/>
      <c r="E2" s="162"/>
      <c r="F2" s="162"/>
      <c r="G2" s="162"/>
      <c r="H2" s="162"/>
      <c r="I2" s="162"/>
      <c r="J2" s="162"/>
      <c r="K2" s="162"/>
      <c r="L2" s="162"/>
    </row>
    <row r="3" spans="1:14" s="141" customFormat="1" ht="46.5" customHeight="1">
      <c r="A3" s="505" t="s">
        <v>25</v>
      </c>
      <c r="B3" s="725" t="s">
        <v>335</v>
      </c>
      <c r="C3" s="537" t="s">
        <v>334</v>
      </c>
      <c r="D3" s="537" t="s">
        <v>333</v>
      </c>
      <c r="E3" s="537" t="s">
        <v>230</v>
      </c>
      <c r="F3" s="537" t="s">
        <v>229</v>
      </c>
      <c r="G3" s="537" t="s">
        <v>332</v>
      </c>
      <c r="H3" s="537" t="s">
        <v>331</v>
      </c>
      <c r="I3" s="537" t="s">
        <v>330</v>
      </c>
      <c r="J3" s="537" t="s">
        <v>329</v>
      </c>
      <c r="K3" s="538" t="s">
        <v>328</v>
      </c>
      <c r="L3" s="162"/>
    </row>
    <row r="4" spans="1:14" s="77" customFormat="1" ht="15.75">
      <c r="A4" s="517" t="s">
        <v>232</v>
      </c>
      <c r="B4" s="726">
        <v>2072</v>
      </c>
      <c r="C4" s="720">
        <v>8905</v>
      </c>
      <c r="D4" s="727">
        <f t="shared" ref="D4:D11" si="0">B4+C4</f>
        <v>10977</v>
      </c>
      <c r="E4" s="719">
        <f t="shared" ref="E4:E11" si="1">B4/D4</f>
        <v>0.18875831283592967</v>
      </c>
      <c r="F4" s="719">
        <f t="shared" ref="F4:F11" si="2">C4/D4</f>
        <v>0.8112416871640703</v>
      </c>
      <c r="G4" s="720">
        <v>502153</v>
      </c>
      <c r="H4" s="720">
        <v>686076</v>
      </c>
      <c r="I4" s="727">
        <f>+H4+G4</f>
        <v>1188229</v>
      </c>
      <c r="J4" s="719">
        <f t="shared" ref="J4:K6" si="3">B4/G4</f>
        <v>4.1262324431000112E-3</v>
      </c>
      <c r="K4" s="721">
        <f t="shared" si="3"/>
        <v>1.2979611588220547E-2</v>
      </c>
    </row>
    <row r="5" spans="1:14" s="77" customFormat="1" ht="15.75">
      <c r="A5" s="517" t="s">
        <v>233</v>
      </c>
      <c r="B5" s="728">
        <v>3076</v>
      </c>
      <c r="C5" s="288">
        <v>11608</v>
      </c>
      <c r="D5" s="687">
        <f t="shared" si="0"/>
        <v>14684</v>
      </c>
      <c r="E5" s="714">
        <f t="shared" si="1"/>
        <v>0.20947970580223371</v>
      </c>
      <c r="F5" s="714">
        <f t="shared" si="2"/>
        <v>0.79052029419776626</v>
      </c>
      <c r="G5" s="288">
        <v>524956</v>
      </c>
      <c r="H5" s="288">
        <v>702769</v>
      </c>
      <c r="I5" s="687">
        <f t="shared" ref="I5:I11" si="4">+H5+G5</f>
        <v>1227725</v>
      </c>
      <c r="J5" s="714">
        <f>B5/G5</f>
        <v>5.8595387041961615E-3</v>
      </c>
      <c r="K5" s="718">
        <f>C5/H5</f>
        <v>1.6517518558729825E-2</v>
      </c>
    </row>
    <row r="6" spans="1:14" s="77" customFormat="1" ht="15.75">
      <c r="A6" s="517" t="s">
        <v>196</v>
      </c>
      <c r="B6" s="728">
        <v>3938</v>
      </c>
      <c r="C6" s="288">
        <v>13518</v>
      </c>
      <c r="D6" s="687">
        <f t="shared" si="0"/>
        <v>17456</v>
      </c>
      <c r="E6" s="714">
        <f t="shared" si="1"/>
        <v>0.22559578368469294</v>
      </c>
      <c r="F6" s="714">
        <f t="shared" si="2"/>
        <v>0.77440421631530709</v>
      </c>
      <c r="G6" s="288">
        <v>558699</v>
      </c>
      <c r="H6" s="288">
        <v>740388</v>
      </c>
      <c r="I6" s="687">
        <f t="shared" si="4"/>
        <v>1299087</v>
      </c>
      <c r="J6" s="714">
        <f t="shared" si="3"/>
        <v>7.0485180750278773E-3</v>
      </c>
      <c r="K6" s="718">
        <f t="shared" si="3"/>
        <v>1.8257994456960403E-2</v>
      </c>
    </row>
    <row r="7" spans="1:14" s="77" customFormat="1" ht="15.75">
      <c r="A7" s="517" t="s">
        <v>234</v>
      </c>
      <c r="B7" s="728">
        <v>5638</v>
      </c>
      <c r="C7" s="288">
        <v>16959</v>
      </c>
      <c r="D7" s="687">
        <f t="shared" si="0"/>
        <v>22597</v>
      </c>
      <c r="E7" s="714">
        <f t="shared" si="1"/>
        <v>0.24950214630260653</v>
      </c>
      <c r="F7" s="714">
        <f t="shared" si="2"/>
        <v>0.75049785369739341</v>
      </c>
      <c r="G7" s="288">
        <v>590403</v>
      </c>
      <c r="H7" s="288">
        <v>777388</v>
      </c>
      <c r="I7" s="687">
        <f t="shared" si="4"/>
        <v>1367791</v>
      </c>
      <c r="J7" s="714">
        <f t="shared" ref="J7:K11" si="5">B7/G7</f>
        <v>9.5494094711578367E-3</v>
      </c>
      <c r="K7" s="718">
        <f t="shared" si="5"/>
        <v>2.1815361183861855E-2</v>
      </c>
      <c r="L7" s="23"/>
    </row>
    <row r="8" spans="1:14" s="77" customFormat="1" ht="15.75">
      <c r="A8" s="517" t="s">
        <v>485</v>
      </c>
      <c r="B8" s="708">
        <v>7022</v>
      </c>
      <c r="C8" s="667">
        <v>19666</v>
      </c>
      <c r="D8" s="715">
        <f t="shared" si="0"/>
        <v>26688</v>
      </c>
      <c r="E8" s="716">
        <f t="shared" si="1"/>
        <v>0.26311450839328537</v>
      </c>
      <c r="F8" s="716">
        <f t="shared" si="2"/>
        <v>0.73688549160671468</v>
      </c>
      <c r="G8" s="667">
        <v>619448</v>
      </c>
      <c r="H8" s="667">
        <v>807286</v>
      </c>
      <c r="I8" s="687">
        <f t="shared" si="4"/>
        <v>1426734</v>
      </c>
      <c r="J8" s="714">
        <f t="shared" si="5"/>
        <v>1.1335899058516615E-2</v>
      </c>
      <c r="K8" s="718">
        <f t="shared" si="5"/>
        <v>2.4360635512073788E-2</v>
      </c>
      <c r="L8" s="23"/>
    </row>
    <row r="9" spans="1:14" s="77" customFormat="1" ht="15.75">
      <c r="A9" s="517" t="s">
        <v>573</v>
      </c>
      <c r="B9" s="708">
        <f>18+7821</f>
        <v>7839</v>
      </c>
      <c r="C9" s="667">
        <v>20796</v>
      </c>
      <c r="D9" s="715">
        <f t="shared" si="0"/>
        <v>28635</v>
      </c>
      <c r="E9" s="716">
        <f t="shared" si="1"/>
        <v>0.27375589313776849</v>
      </c>
      <c r="F9" s="716">
        <f t="shared" si="2"/>
        <v>0.72624410686223151</v>
      </c>
      <c r="G9" s="667">
        <v>669009</v>
      </c>
      <c r="H9" s="667">
        <v>857649</v>
      </c>
      <c r="I9" s="687">
        <f t="shared" si="4"/>
        <v>1526658</v>
      </c>
      <c r="J9" s="714">
        <f t="shared" si="5"/>
        <v>1.1717331156979951E-2</v>
      </c>
      <c r="K9" s="718">
        <f t="shared" si="5"/>
        <v>2.4247681743930209E-2</v>
      </c>
      <c r="L9" s="23"/>
    </row>
    <row r="10" spans="1:14" s="77" customFormat="1" ht="15.75">
      <c r="A10" s="517" t="s">
        <v>581</v>
      </c>
      <c r="B10" s="708">
        <v>8865</v>
      </c>
      <c r="C10" s="667">
        <v>22167</v>
      </c>
      <c r="D10" s="715">
        <f t="shared" si="0"/>
        <v>31032</v>
      </c>
      <c r="E10" s="716">
        <f t="shared" si="1"/>
        <v>0.28567285382830626</v>
      </c>
      <c r="F10" s="716">
        <f t="shared" si="2"/>
        <v>0.71432714617169368</v>
      </c>
      <c r="G10" s="667">
        <v>730833</v>
      </c>
      <c r="H10" s="667">
        <v>920369</v>
      </c>
      <c r="I10" s="687">
        <f t="shared" si="4"/>
        <v>1651202</v>
      </c>
      <c r="J10" s="714">
        <f t="shared" si="5"/>
        <v>1.2129994129985919E-2</v>
      </c>
      <c r="K10" s="718">
        <f t="shared" si="5"/>
        <v>2.4084905076116211E-2</v>
      </c>
      <c r="L10" s="23"/>
    </row>
    <row r="11" spans="1:14" s="77" customFormat="1" ht="15.75">
      <c r="A11" s="517" t="s">
        <v>969</v>
      </c>
      <c r="B11" s="708">
        <f>+'V.4.7. Accid x sexo'!B14</f>
        <v>4756</v>
      </c>
      <c r="C11" s="667">
        <f>+'V.4.7. Accid x sexo'!C14</f>
        <v>11803</v>
      </c>
      <c r="D11" s="715">
        <f t="shared" si="0"/>
        <v>16559</v>
      </c>
      <c r="E11" s="722">
        <f t="shared" si="1"/>
        <v>0.28721541155866898</v>
      </c>
      <c r="F11" s="722">
        <f t="shared" si="2"/>
        <v>0.71278458844133097</v>
      </c>
      <c r="G11" s="710">
        <v>756623</v>
      </c>
      <c r="H11" s="710">
        <v>950161</v>
      </c>
      <c r="I11" s="729">
        <f t="shared" si="4"/>
        <v>1706784</v>
      </c>
      <c r="J11" s="723">
        <f t="shared" si="5"/>
        <v>6.285825305337004E-3</v>
      </c>
      <c r="K11" s="724">
        <f t="shared" si="5"/>
        <v>1.2422105306363869E-2</v>
      </c>
      <c r="L11" s="23"/>
    </row>
    <row r="12" spans="1:14" s="141" customFormat="1" ht="18" customHeight="1">
      <c r="A12" s="730" t="s">
        <v>23</v>
      </c>
      <c r="B12" s="731">
        <f>SUM(B4:B11)</f>
        <v>43206</v>
      </c>
      <c r="C12" s="717">
        <f>SUM(C4:C11)</f>
        <v>125422</v>
      </c>
      <c r="D12" s="732">
        <f>SUM(D4:D11)</f>
        <v>168628</v>
      </c>
      <c r="E12" s="77"/>
      <c r="F12" s="77"/>
      <c r="G12" s="77"/>
      <c r="H12" s="77"/>
      <c r="I12" s="77"/>
      <c r="J12" s="77"/>
      <c r="K12" s="77"/>
      <c r="L12" s="215"/>
    </row>
    <row r="13" spans="1:14" s="77" customFormat="1">
      <c r="L13" s="39"/>
      <c r="N13" s="165"/>
    </row>
    <row r="14" spans="1:14" s="77" customFormat="1" ht="15.75">
      <c r="H14" s="153"/>
      <c r="I14" s="153"/>
      <c r="L14" s="39"/>
      <c r="N14" s="165"/>
    </row>
    <row r="15" spans="1:14" s="77" customFormat="1">
      <c r="L15" s="23"/>
      <c r="N15" s="165"/>
    </row>
    <row r="16" spans="1:14" s="77" customFormat="1">
      <c r="L16" s="23"/>
    </row>
    <row r="17" spans="12:12" s="77" customFormat="1">
      <c r="L17" s="23"/>
    </row>
    <row r="18" spans="12:12" s="77" customFormat="1">
      <c r="L18" s="23"/>
    </row>
    <row r="19" spans="12:12" s="77" customFormat="1">
      <c r="L19" s="23"/>
    </row>
    <row r="20" spans="12:12" s="77" customFormat="1">
      <c r="L20" s="23"/>
    </row>
    <row r="21" spans="12:12" s="77" customFormat="1">
      <c r="L21" s="23"/>
    </row>
    <row r="22" spans="12:12" s="77" customFormat="1">
      <c r="L22" s="23"/>
    </row>
    <row r="23" spans="12:12" s="77" customFormat="1">
      <c r="L23" s="23"/>
    </row>
    <row r="24" spans="12:12" s="77" customFormat="1">
      <c r="L24" s="23"/>
    </row>
    <row r="25" spans="12:12" s="77" customFormat="1">
      <c r="L25" s="23"/>
    </row>
    <row r="26" spans="12:12" s="77" customFormat="1">
      <c r="L26" s="23"/>
    </row>
    <row r="27" spans="12:12" s="77" customFormat="1">
      <c r="L27" s="23"/>
    </row>
    <row r="28" spans="12:12" s="77" customFormat="1">
      <c r="L28" s="23"/>
    </row>
    <row r="29" spans="12:12" s="77" customFormat="1">
      <c r="L29" s="23"/>
    </row>
    <row r="30" spans="12:12" s="77" customFormat="1">
      <c r="L30" s="23"/>
    </row>
    <row r="31" spans="12:12" s="77" customFormat="1">
      <c r="L31" s="23"/>
    </row>
    <row r="32" spans="12:12" s="77" customFormat="1">
      <c r="L32" s="23"/>
    </row>
    <row r="33" spans="3:3" s="77" customFormat="1"/>
    <row r="34" spans="3:3" s="77" customFormat="1"/>
    <row r="35" spans="3:3" s="77" customFormat="1" ht="15.75">
      <c r="C35" s="142"/>
    </row>
    <row r="36" spans="3:3" s="77" customFormat="1"/>
    <row r="37" spans="3:3" s="77" customFormat="1"/>
    <row r="38" spans="3:3" s="77" customFormat="1"/>
    <row r="39" spans="3:3" s="77" customFormat="1"/>
    <row r="40" spans="3:3" s="77" customFormat="1"/>
    <row r="41" spans="3:3" s="77" customFormat="1"/>
    <row r="42" spans="3:3" s="77" customFormat="1"/>
    <row r="43" spans="3:3" s="77" customFormat="1"/>
    <row r="44" spans="3:3" s="77" customFormat="1"/>
    <row r="45" spans="3:3" s="77" customFormat="1"/>
    <row r="46" spans="3:3" s="77" customFormat="1"/>
    <row r="47" spans="3:3"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V35"/>
  <sheetViews>
    <sheetView showGridLines="0" view="pageBreakPreview" zoomScale="70" zoomScaleNormal="100" zoomScaleSheetLayoutView="70" workbookViewId="0">
      <selection activeCell="L11" sqref="L11"/>
    </sheetView>
  </sheetViews>
  <sheetFormatPr baseColWidth="10" defaultColWidth="11.42578125" defaultRowHeight="15"/>
  <cols>
    <col min="1" max="1" width="15.85546875" style="39" customWidth="1"/>
    <col min="2" max="2" width="18.7109375" style="39" customWidth="1"/>
    <col min="3" max="6" width="9.7109375" style="39" bestFit="1" customWidth="1"/>
    <col min="7" max="7" width="12.42578125" style="39" bestFit="1" customWidth="1"/>
    <col min="8" max="8" width="10.140625" style="39" bestFit="1" customWidth="1"/>
    <col min="9" max="9" width="15.28515625" style="39" bestFit="1" customWidth="1"/>
    <col min="10" max="10" width="12.85546875" style="39" bestFit="1" customWidth="1"/>
    <col min="11" max="11" width="12" style="39" bestFit="1" customWidth="1"/>
    <col min="12" max="12" width="12.42578125" style="39" bestFit="1" customWidth="1"/>
    <col min="13" max="13" width="11" style="39" customWidth="1"/>
    <col min="14" max="14" width="13.140625" style="39" bestFit="1" customWidth="1"/>
    <col min="15" max="15" width="13.85546875" style="39" customWidth="1"/>
    <col min="16" max="16" width="15.42578125" style="39" customWidth="1"/>
    <col min="17" max="17" width="21.140625" style="39" customWidth="1"/>
    <col min="18" max="18" width="16.5703125" style="39" customWidth="1"/>
    <col min="19" max="19" width="12" style="39" customWidth="1"/>
    <col min="20" max="21" width="12.28515625" style="39" customWidth="1"/>
    <col min="22" max="16384" width="11.42578125" style="39"/>
  </cols>
  <sheetData>
    <row r="1" spans="1:22" s="77" customFormat="1" ht="66.75" customHeight="1">
      <c r="A1" s="1882"/>
      <c r="B1" s="1882"/>
      <c r="C1" s="1882"/>
      <c r="D1" s="1882"/>
      <c r="E1" s="1882"/>
      <c r="F1" s="1882"/>
      <c r="G1" s="1882"/>
      <c r="H1" s="1882"/>
      <c r="I1" s="1882"/>
      <c r="J1" s="1882"/>
      <c r="K1" s="1882"/>
      <c r="L1" s="1882"/>
      <c r="M1" s="1882"/>
      <c r="N1" s="1882"/>
      <c r="O1" s="1882"/>
      <c r="P1" s="1882"/>
      <c r="Q1" s="1882"/>
      <c r="R1" s="1882"/>
      <c r="S1" s="1882"/>
      <c r="T1" s="1882"/>
      <c r="U1" s="1882"/>
    </row>
    <row r="2" spans="1:22" s="77" customFormat="1" ht="7.5" customHeight="1">
      <c r="A2" s="1991"/>
      <c r="B2" s="1992"/>
      <c r="C2" s="1992"/>
      <c r="D2" s="1992"/>
      <c r="E2" s="1992"/>
      <c r="F2" s="1992"/>
      <c r="G2" s="1992"/>
      <c r="H2" s="1992"/>
      <c r="I2" s="1992"/>
      <c r="J2" s="1992"/>
      <c r="K2" s="1992"/>
      <c r="L2" s="1992"/>
      <c r="M2" s="1992"/>
      <c r="N2" s="1992"/>
      <c r="O2" s="1992"/>
      <c r="P2" s="1992"/>
      <c r="Q2" s="1992"/>
      <c r="R2" s="1992"/>
      <c r="S2" s="1992"/>
      <c r="T2" s="1992"/>
      <c r="U2" s="1993"/>
    </row>
    <row r="3" spans="1:22" s="141" customFormat="1" ht="51" customHeight="1">
      <c r="A3" s="663" t="s">
        <v>0</v>
      </c>
      <c r="B3" s="668" t="s">
        <v>355</v>
      </c>
      <c r="C3" s="668" t="s">
        <v>344</v>
      </c>
      <c r="D3" s="668" t="s">
        <v>343</v>
      </c>
      <c r="E3" s="668" t="s">
        <v>342</v>
      </c>
      <c r="F3" s="668" t="s">
        <v>341</v>
      </c>
      <c r="G3" s="668" t="s">
        <v>354</v>
      </c>
      <c r="H3" s="664" t="s">
        <v>143</v>
      </c>
      <c r="I3" s="668" t="s">
        <v>353</v>
      </c>
      <c r="J3" s="668" t="s">
        <v>344</v>
      </c>
      <c r="K3" s="668" t="s">
        <v>343</v>
      </c>
      <c r="L3" s="668" t="s">
        <v>342</v>
      </c>
      <c r="M3" s="668" t="s">
        <v>341</v>
      </c>
      <c r="N3" s="668" t="s">
        <v>340</v>
      </c>
      <c r="O3" s="664" t="s">
        <v>352</v>
      </c>
      <c r="P3" s="668" t="s">
        <v>351</v>
      </c>
      <c r="Q3" s="668" t="s">
        <v>350</v>
      </c>
      <c r="R3" s="668" t="s">
        <v>349</v>
      </c>
      <c r="S3" s="668" t="s">
        <v>348</v>
      </c>
      <c r="T3" s="668" t="s">
        <v>347</v>
      </c>
      <c r="U3" s="669" t="s">
        <v>346</v>
      </c>
    </row>
    <row r="4" spans="1:22" s="1169" customFormat="1" ht="15.75">
      <c r="A4" s="1238" t="s">
        <v>232</v>
      </c>
      <c r="B4" s="1239">
        <v>7</v>
      </c>
      <c r="C4" s="1240">
        <v>1031</v>
      </c>
      <c r="D4" s="1240">
        <v>4066</v>
      </c>
      <c r="E4" s="1240">
        <v>3112</v>
      </c>
      <c r="F4" s="1240">
        <v>1708</v>
      </c>
      <c r="G4" s="1240">
        <f>24+1029</f>
        <v>1053</v>
      </c>
      <c r="H4" s="1281">
        <f>SUM(B4:G4)</f>
        <v>10977</v>
      </c>
      <c r="I4" s="1240">
        <v>22989</v>
      </c>
      <c r="J4" s="1240">
        <v>351184</v>
      </c>
      <c r="K4" s="1240">
        <v>350381</v>
      </c>
      <c r="L4" s="1240">
        <v>260446</v>
      </c>
      <c r="M4" s="1240">
        <v>139328</v>
      </c>
      <c r="N4" s="1240">
        <v>63901</v>
      </c>
      <c r="O4" s="1285">
        <f>+N4+M4+L4+K4+J4+I4</f>
        <v>1188229</v>
      </c>
      <c r="P4" s="1241">
        <f t="shared" ref="P4:U7" si="0">B4/I4</f>
        <v>3.0449345339075211E-4</v>
      </c>
      <c r="Q4" s="1241">
        <f t="shared" si="0"/>
        <v>2.9357829513873071E-3</v>
      </c>
      <c r="R4" s="1241">
        <f t="shared" si="0"/>
        <v>1.1604510518549807E-2</v>
      </c>
      <c r="S4" s="1241">
        <f t="shared" si="0"/>
        <v>1.1948734094591585E-2</v>
      </c>
      <c r="T4" s="1241">
        <f t="shared" si="0"/>
        <v>1.2258842443729904E-2</v>
      </c>
      <c r="U4" s="1242">
        <f t="shared" si="0"/>
        <v>1.6478615358132109E-2</v>
      </c>
    </row>
    <row r="5" spans="1:22" s="1169" customFormat="1" ht="15.75">
      <c r="A5" s="494" t="s">
        <v>233</v>
      </c>
      <c r="B5" s="708">
        <v>2</v>
      </c>
      <c r="C5" s="667">
        <v>2024</v>
      </c>
      <c r="D5" s="667">
        <v>5530</v>
      </c>
      <c r="E5" s="667">
        <v>3839</v>
      </c>
      <c r="F5" s="667">
        <v>2108</v>
      </c>
      <c r="G5" s="667">
        <f>49+1132</f>
        <v>1181</v>
      </c>
      <c r="H5" s="1282">
        <f t="shared" ref="H5:H11" si="1">SUM(B5:G5)</f>
        <v>14684</v>
      </c>
      <c r="I5" s="667">
        <v>22230</v>
      </c>
      <c r="J5" s="667">
        <v>349422</v>
      </c>
      <c r="K5" s="667">
        <v>357517</v>
      </c>
      <c r="L5" s="667">
        <v>270321</v>
      </c>
      <c r="M5" s="667">
        <v>153630</v>
      </c>
      <c r="N5" s="667">
        <v>74605</v>
      </c>
      <c r="O5" s="1286">
        <f>+N5+M5+L5+K5+J5+I5</f>
        <v>1227725</v>
      </c>
      <c r="P5" s="742">
        <f t="shared" ref="P5:U5" si="2">B5/I5</f>
        <v>8.9968511021142601E-5</v>
      </c>
      <c r="Q5" s="742">
        <f t="shared" si="2"/>
        <v>5.7924229155576924E-3</v>
      </c>
      <c r="R5" s="742">
        <f t="shared" si="2"/>
        <v>1.5467795936976423E-2</v>
      </c>
      <c r="S5" s="742">
        <f t="shared" si="2"/>
        <v>1.4201634353231898E-2</v>
      </c>
      <c r="T5" s="742">
        <f t="shared" si="2"/>
        <v>1.3721278396146586E-2</v>
      </c>
      <c r="U5" s="745">
        <f t="shared" si="2"/>
        <v>1.5830038201192949E-2</v>
      </c>
    </row>
    <row r="6" spans="1:22" s="1169" customFormat="1" ht="15.75">
      <c r="A6" s="494" t="s">
        <v>196</v>
      </c>
      <c r="B6" s="708">
        <v>0</v>
      </c>
      <c r="C6" s="667">
        <v>3154</v>
      </c>
      <c r="D6" s="667">
        <v>6350</v>
      </c>
      <c r="E6" s="667">
        <v>4256</v>
      </c>
      <c r="F6" s="667">
        <v>2407</v>
      </c>
      <c r="G6" s="667">
        <f>85+1204</f>
        <v>1289</v>
      </c>
      <c r="H6" s="1282">
        <f t="shared" si="1"/>
        <v>17456</v>
      </c>
      <c r="I6" s="667">
        <v>23191</v>
      </c>
      <c r="J6" s="667">
        <v>371288</v>
      </c>
      <c r="K6" s="667">
        <v>379357</v>
      </c>
      <c r="L6" s="667">
        <v>283217</v>
      </c>
      <c r="M6" s="667">
        <v>161898</v>
      </c>
      <c r="N6" s="667">
        <v>80136</v>
      </c>
      <c r="O6" s="1286">
        <f t="shared" ref="O6:O10" si="3">+N6+M6+L6+K6+J6+I6</f>
        <v>1299087</v>
      </c>
      <c r="P6" s="742">
        <f t="shared" si="0"/>
        <v>0</v>
      </c>
      <c r="Q6" s="742">
        <f t="shared" si="0"/>
        <v>8.4947533989786911E-3</v>
      </c>
      <c r="R6" s="742">
        <f t="shared" si="0"/>
        <v>1.6738850212332974E-2</v>
      </c>
      <c r="S6" s="742">
        <f t="shared" si="0"/>
        <v>1.5027346522277971E-2</v>
      </c>
      <c r="T6" s="742">
        <f t="shared" si="0"/>
        <v>1.4867385637870758E-2</v>
      </c>
      <c r="U6" s="745">
        <f t="shared" si="0"/>
        <v>1.6085155236098634E-2</v>
      </c>
    </row>
    <row r="7" spans="1:22" s="1169" customFormat="1" ht="15.75">
      <c r="A7" s="494" t="s">
        <v>234</v>
      </c>
      <c r="B7" s="708">
        <v>6</v>
      </c>
      <c r="C7" s="667">
        <v>4931</v>
      </c>
      <c r="D7" s="667">
        <v>7715</v>
      </c>
      <c r="E7" s="667">
        <v>5319</v>
      </c>
      <c r="F7" s="667">
        <v>3017</v>
      </c>
      <c r="G7" s="667">
        <f>141+1468</f>
        <v>1609</v>
      </c>
      <c r="H7" s="1282">
        <f t="shared" si="1"/>
        <v>22597</v>
      </c>
      <c r="I7" s="667">
        <v>23232</v>
      </c>
      <c r="J7" s="667">
        <v>386518</v>
      </c>
      <c r="K7" s="667">
        <v>398328</v>
      </c>
      <c r="L7" s="667">
        <v>298491</v>
      </c>
      <c r="M7" s="667">
        <v>172808</v>
      </c>
      <c r="N7" s="667">
        <v>88414</v>
      </c>
      <c r="O7" s="1286">
        <f t="shared" si="3"/>
        <v>1367791</v>
      </c>
      <c r="P7" s="742">
        <f t="shared" si="0"/>
        <v>2.5826446280991736E-4</v>
      </c>
      <c r="Q7" s="742">
        <f t="shared" si="0"/>
        <v>1.2757491242322479E-2</v>
      </c>
      <c r="R7" s="742">
        <f t="shared" si="0"/>
        <v>1.9368460163483359E-2</v>
      </c>
      <c r="S7" s="742">
        <f t="shared" si="0"/>
        <v>1.7819632752746315E-2</v>
      </c>
      <c r="T7" s="742">
        <f t="shared" si="0"/>
        <v>1.7458682468404242E-2</v>
      </c>
      <c r="U7" s="745">
        <f t="shared" si="0"/>
        <v>1.8198475354581852E-2</v>
      </c>
    </row>
    <row r="8" spans="1:22" s="1169" customFormat="1" ht="15.75">
      <c r="A8" s="494" t="s">
        <v>485</v>
      </c>
      <c r="B8" s="708">
        <v>18</v>
      </c>
      <c r="C8" s="667">
        <v>6875</v>
      </c>
      <c r="D8" s="667">
        <v>8611</v>
      </c>
      <c r="E8" s="667">
        <v>5883</v>
      </c>
      <c r="F8" s="667">
        <v>3457</v>
      </c>
      <c r="G8" s="667">
        <f>204+1640</f>
        <v>1844</v>
      </c>
      <c r="H8" s="1282">
        <f t="shared" si="1"/>
        <v>26688</v>
      </c>
      <c r="I8" s="667">
        <v>21475</v>
      </c>
      <c r="J8" s="667">
        <v>400126</v>
      </c>
      <c r="K8" s="667">
        <v>414303</v>
      </c>
      <c r="L8" s="667">
        <v>313227</v>
      </c>
      <c r="M8" s="667">
        <v>182801</v>
      </c>
      <c r="N8" s="667">
        <v>94802</v>
      </c>
      <c r="O8" s="1286">
        <f t="shared" si="3"/>
        <v>1426734</v>
      </c>
      <c r="P8" s="742">
        <f t="shared" ref="P8:U8" si="4">B8/I8</f>
        <v>8.3818393480791613E-4</v>
      </c>
      <c r="Q8" s="742">
        <f t="shared" si="4"/>
        <v>1.7182087642392645E-2</v>
      </c>
      <c r="R8" s="742">
        <f t="shared" si="4"/>
        <v>2.0784305206575864E-2</v>
      </c>
      <c r="S8" s="742">
        <f t="shared" si="4"/>
        <v>1.8781905774406422E-2</v>
      </c>
      <c r="T8" s="742">
        <f t="shared" si="4"/>
        <v>1.8911275102433796E-2</v>
      </c>
      <c r="U8" s="745">
        <f t="shared" si="4"/>
        <v>1.9451066433197613E-2</v>
      </c>
    </row>
    <row r="9" spans="1:22" s="1169" customFormat="1" ht="15.75">
      <c r="A9" s="494" t="s">
        <v>573</v>
      </c>
      <c r="B9" s="708">
        <v>34</v>
      </c>
      <c r="C9" s="667">
        <v>8429</v>
      </c>
      <c r="D9" s="667">
        <v>8946</v>
      </c>
      <c r="E9" s="667">
        <v>5876</v>
      </c>
      <c r="F9" s="667">
        <v>3510</v>
      </c>
      <c r="G9" s="667">
        <f>227+1613</f>
        <v>1840</v>
      </c>
      <c r="H9" s="1282">
        <f t="shared" si="1"/>
        <v>28635</v>
      </c>
      <c r="I9" s="667">
        <v>20589</v>
      </c>
      <c r="J9" s="667">
        <v>426931</v>
      </c>
      <c r="K9" s="667">
        <v>440354</v>
      </c>
      <c r="L9" s="667">
        <v>332451</v>
      </c>
      <c r="M9" s="667">
        <v>201166</v>
      </c>
      <c r="N9" s="667">
        <v>105167</v>
      </c>
      <c r="O9" s="1286">
        <f t="shared" si="3"/>
        <v>1526658</v>
      </c>
      <c r="P9" s="742">
        <f t="shared" ref="P9:U11" si="5">B9/I9</f>
        <v>1.651367234931274E-3</v>
      </c>
      <c r="Q9" s="742">
        <f t="shared" si="5"/>
        <v>1.9743237197579935E-2</v>
      </c>
      <c r="R9" s="742">
        <f t="shared" si="5"/>
        <v>2.0315473459989009E-2</v>
      </c>
      <c r="S9" s="742">
        <f t="shared" si="5"/>
        <v>1.7674785156308749E-2</v>
      </c>
      <c r="T9" s="742">
        <f t="shared" si="5"/>
        <v>1.7448276547726752E-2</v>
      </c>
      <c r="U9" s="745">
        <f t="shared" si="5"/>
        <v>1.7495982580086909E-2</v>
      </c>
    </row>
    <row r="10" spans="1:22" s="1169" customFormat="1" ht="15.75">
      <c r="A10" s="494" t="s">
        <v>581</v>
      </c>
      <c r="B10" s="708">
        <v>80</v>
      </c>
      <c r="C10" s="667">
        <f>751+8873</f>
        <v>9624</v>
      </c>
      <c r="D10" s="667">
        <f>752+8054</f>
        <v>8806</v>
      </c>
      <c r="E10" s="667">
        <f>752+5517</f>
        <v>6269</v>
      </c>
      <c r="F10" s="667">
        <f>752+3124</f>
        <v>3876</v>
      </c>
      <c r="G10" s="667">
        <f>752+1625</f>
        <v>2377</v>
      </c>
      <c r="H10" s="1282">
        <f t="shared" si="1"/>
        <v>31032</v>
      </c>
      <c r="I10" s="667">
        <v>21039</v>
      </c>
      <c r="J10" s="667">
        <v>459696</v>
      </c>
      <c r="K10" s="667">
        <v>473047</v>
      </c>
      <c r="L10" s="667">
        <v>356103</v>
      </c>
      <c r="M10" s="667">
        <v>221286</v>
      </c>
      <c r="N10" s="667">
        <v>120031</v>
      </c>
      <c r="O10" s="1286">
        <f t="shared" si="3"/>
        <v>1651202</v>
      </c>
      <c r="P10" s="742">
        <f t="shared" si="5"/>
        <v>3.8024620942059984E-3</v>
      </c>
      <c r="Q10" s="742">
        <f t="shared" si="5"/>
        <v>2.0935574814660123E-2</v>
      </c>
      <c r="R10" s="742">
        <f t="shared" si="5"/>
        <v>1.8615486410441247E-2</v>
      </c>
      <c r="S10" s="742">
        <f t="shared" si="5"/>
        <v>1.7604457137401257E-2</v>
      </c>
      <c r="T10" s="742">
        <f t="shared" si="5"/>
        <v>1.751579404029175E-2</v>
      </c>
      <c r="U10" s="745">
        <f t="shared" si="5"/>
        <v>1.9803217502145278E-2</v>
      </c>
    </row>
    <row r="11" spans="1:22" s="1169" customFormat="1" ht="15.75">
      <c r="A11" s="510" t="s">
        <v>974</v>
      </c>
      <c r="B11" s="709">
        <f>+'V.4.8. Accid x rango de edad'!B14</f>
        <v>200</v>
      </c>
      <c r="C11" s="710">
        <f>+'V.4.8. Accid x rango de edad'!C14</f>
        <v>5924</v>
      </c>
      <c r="D11" s="710">
        <f>+'V.4.8. Accid x rango de edad'!D14</f>
        <v>4799</v>
      </c>
      <c r="E11" s="710">
        <f>+'V.4.8. Accid x rango de edad'!E14</f>
        <v>3151</v>
      </c>
      <c r="F11" s="710">
        <f>+'V.4.8. Accid x rango de edad'!F14</f>
        <v>1739</v>
      </c>
      <c r="G11" s="710">
        <f>+'V.4.8. Accid x rango de edad'!G14</f>
        <v>746</v>
      </c>
      <c r="H11" s="1283">
        <f t="shared" si="1"/>
        <v>16559</v>
      </c>
      <c r="I11" s="710">
        <f>+[4]SRL.A5!$D$1303</f>
        <v>23743</v>
      </c>
      <c r="J11" s="710">
        <f>+[4]SRL.A5!$D$1304+[4]SRL.A5!$D$1305</f>
        <v>476749</v>
      </c>
      <c r="K11" s="710">
        <f>+[4]SRL.A5!$D$1306+[4]SRL.A5!$D$1307</f>
        <v>485795</v>
      </c>
      <c r="L11" s="710">
        <f>+[4]SRL.A5!$D$1308+[4]SRL.A5!$D$1309</f>
        <v>366272</v>
      </c>
      <c r="M11" s="710">
        <f>+[4]SRL.A5!$D$1310+[4]SRL.A5!$D$1311</f>
        <v>228387</v>
      </c>
      <c r="N11" s="710">
        <f>+[4]SRL.A5!$D$1312+[4]SRL.A5!$D$1313+[4]SRL.A5!$D$1314+[4]SRL.A5!$D$1315+[4]SRL.A5!$D$1316+[4]SRL.A5!$D$1317</f>
        <v>125838</v>
      </c>
      <c r="O11" s="1287">
        <f>+N11+M11+L11+K11+J11+I11</f>
        <v>1706784</v>
      </c>
      <c r="P11" s="1243">
        <f>B11/I11</f>
        <v>8.4235353577896636E-3</v>
      </c>
      <c r="Q11" s="1243">
        <f t="shared" si="5"/>
        <v>1.2425825748979023E-2</v>
      </c>
      <c r="R11" s="1243">
        <f t="shared" si="5"/>
        <v>9.8786525180374445E-3</v>
      </c>
      <c r="S11" s="1243">
        <f t="shared" si="5"/>
        <v>8.6028962082823693E-3</v>
      </c>
      <c r="T11" s="1243">
        <f t="shared" si="5"/>
        <v>7.6142687631082333E-3</v>
      </c>
      <c r="U11" s="1244">
        <f t="shared" si="5"/>
        <v>5.9282569653045982E-3</v>
      </c>
    </row>
    <row r="12" spans="1:22" s="77" customFormat="1" ht="15.75">
      <c r="A12" s="847" t="s">
        <v>23</v>
      </c>
      <c r="B12" s="734">
        <f t="shared" ref="B12:H12" si="6">SUM(B4:B11)</f>
        <v>347</v>
      </c>
      <c r="C12" s="734">
        <f t="shared" si="6"/>
        <v>41992</v>
      </c>
      <c r="D12" s="734">
        <f t="shared" si="6"/>
        <v>54823</v>
      </c>
      <c r="E12" s="734">
        <f t="shared" si="6"/>
        <v>37705</v>
      </c>
      <c r="F12" s="734">
        <f t="shared" si="6"/>
        <v>21822</v>
      </c>
      <c r="G12" s="734">
        <f t="shared" si="6"/>
        <v>11939</v>
      </c>
      <c r="H12" s="1284">
        <f t="shared" si="6"/>
        <v>168628</v>
      </c>
      <c r="I12" s="1679"/>
      <c r="J12" s="1678"/>
      <c r="Q12" s="742"/>
      <c r="V12" s="154"/>
    </row>
    <row r="13" spans="1:22" s="77" customFormat="1" ht="15.75">
      <c r="V13" s="154"/>
    </row>
    <row r="14" spans="1:22" s="77" customFormat="1" ht="15.75">
      <c r="V14" s="154"/>
    </row>
    <row r="15" spans="1:22" s="77" customFormat="1" ht="15.75">
      <c r="V15" s="154"/>
    </row>
    <row r="16" spans="1:22" s="77" customFormat="1" ht="15.75">
      <c r="P16" s="39"/>
      <c r="Q16" s="39"/>
      <c r="R16" s="39"/>
      <c r="S16" s="39"/>
      <c r="T16" s="39"/>
      <c r="U16" s="39"/>
      <c r="V16" s="154"/>
    </row>
    <row r="17" spans="14:22" s="77" customFormat="1" ht="15.75">
      <c r="T17" s="147"/>
      <c r="U17" s="154"/>
      <c r="V17" s="154"/>
    </row>
    <row r="18" spans="14:22" s="77" customFormat="1" ht="15.75">
      <c r="T18" s="147"/>
      <c r="U18" s="154"/>
      <c r="V18" s="154"/>
    </row>
    <row r="19" spans="14:22" s="77" customFormat="1" ht="15.75">
      <c r="T19" s="147"/>
      <c r="U19" s="154"/>
      <c r="V19" s="154"/>
    </row>
    <row r="20" spans="14:22" s="77" customFormat="1" ht="15.75">
      <c r="T20" s="147"/>
      <c r="U20" s="154"/>
      <c r="V20" s="154"/>
    </row>
    <row r="21" spans="14:22" s="77" customFormat="1" ht="15.75">
      <c r="T21" s="147"/>
      <c r="U21" s="154"/>
      <c r="V21" s="154"/>
    </row>
    <row r="22" spans="14:22" s="77" customFormat="1" ht="15.75">
      <c r="T22" s="147"/>
      <c r="U22" s="154"/>
      <c r="V22" s="154"/>
    </row>
    <row r="23" spans="14:22" ht="15.75">
      <c r="T23" s="147"/>
      <c r="U23" s="154"/>
      <c r="V23" s="154"/>
    </row>
    <row r="24" spans="14:22" ht="15.75">
      <c r="N24" s="148"/>
      <c r="O24" s="148"/>
      <c r="T24" s="147"/>
      <c r="U24" s="154"/>
      <c r="V24" s="154"/>
    </row>
    <row r="25" spans="14:22" ht="15.75">
      <c r="T25" s="147"/>
      <c r="U25" s="154"/>
      <c r="V25" s="154"/>
    </row>
    <row r="26" spans="14:22" ht="15.75">
      <c r="T26" s="147"/>
      <c r="U26" s="154"/>
      <c r="V26" s="154"/>
    </row>
    <row r="27" spans="14:22" ht="15.75">
      <c r="T27" s="147"/>
      <c r="U27" s="24"/>
      <c r="V27" s="154"/>
    </row>
    <row r="28" spans="14:22" ht="15.75">
      <c r="V28" s="154"/>
    </row>
    <row r="29" spans="14:22" ht="15.75">
      <c r="T29" s="154"/>
      <c r="U29" s="147"/>
      <c r="V29" s="154"/>
    </row>
    <row r="30" spans="14:22" ht="15.75">
      <c r="T30" s="154"/>
      <c r="U30" s="147"/>
      <c r="V30" s="154"/>
    </row>
    <row r="31" spans="14:22" ht="15.75">
      <c r="T31" s="154"/>
      <c r="U31" s="24"/>
      <c r="V31" s="154"/>
    </row>
    <row r="32" spans="14:22" ht="15.75">
      <c r="T32" s="154"/>
      <c r="U32" s="24"/>
      <c r="V32" s="154"/>
    </row>
    <row r="33" spans="22:22" ht="15.75">
      <c r="V33" s="154"/>
    </row>
    <row r="34" spans="22:22" ht="15.75">
      <c r="V34" s="154"/>
    </row>
    <row r="35" spans="22:22" ht="15.75">
      <c r="V35" s="154"/>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7"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K23"/>
  <sheetViews>
    <sheetView showGridLines="0" view="pageBreakPreview" zoomScale="55" zoomScaleNormal="100" zoomScaleSheetLayoutView="55" workbookViewId="0">
      <selection activeCell="E6" sqref="E6"/>
    </sheetView>
  </sheetViews>
  <sheetFormatPr baseColWidth="10" defaultColWidth="11.42578125" defaultRowHeight="15"/>
  <cols>
    <col min="1" max="1" width="14.5703125" style="39" customWidth="1"/>
    <col min="2" max="2" width="20.7109375" style="39" customWidth="1"/>
    <col min="3" max="3" width="18.5703125" style="39" customWidth="1"/>
    <col min="4" max="4" width="14.85546875" style="39" customWidth="1"/>
    <col min="5" max="5" width="19" style="39" customWidth="1"/>
    <col min="6" max="6" width="18.710937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7" customFormat="1" ht="74.25" customHeight="1">
      <c r="A1" s="1994"/>
      <c r="B1" s="1994"/>
      <c r="C1" s="1994"/>
      <c r="D1" s="1994"/>
      <c r="E1" s="1994"/>
      <c r="F1" s="1994"/>
      <c r="G1" s="1994"/>
      <c r="H1" s="1994"/>
      <c r="I1" s="1994"/>
      <c r="J1" s="1994"/>
      <c r="K1" s="151"/>
    </row>
    <row r="2" spans="1:11" s="77" customFormat="1" ht="12" customHeight="1">
      <c r="K2" s="151"/>
    </row>
    <row r="3" spans="1:11" s="77" customFormat="1" ht="30">
      <c r="A3" s="738" t="s">
        <v>0</v>
      </c>
      <c r="B3" s="736" t="s">
        <v>369</v>
      </c>
      <c r="C3" s="736" t="s">
        <v>368</v>
      </c>
      <c r="D3" s="737" t="s">
        <v>365</v>
      </c>
    </row>
    <row r="4" spans="1:11" s="77" customFormat="1" ht="15.75">
      <c r="A4" s="739" t="s">
        <v>233</v>
      </c>
      <c r="B4" s="735">
        <v>14329</v>
      </c>
      <c r="C4" s="735">
        <f>+'V.4.2.NA. Reportes ARL'!D8</f>
        <v>14683</v>
      </c>
      <c r="D4" s="740">
        <f t="shared" ref="D4:D10" si="0">B4/C4</f>
        <v>0.97589048559558678</v>
      </c>
      <c r="F4" s="18"/>
    </row>
    <row r="5" spans="1:11" s="77" customFormat="1" ht="15.75">
      <c r="A5" s="739" t="s">
        <v>196</v>
      </c>
      <c r="B5" s="735">
        <v>16871</v>
      </c>
      <c r="C5" s="735">
        <f>+'V.4.2.NA. Reportes ARL'!D9</f>
        <v>17456</v>
      </c>
      <c r="D5" s="740">
        <f t="shared" si="0"/>
        <v>0.96648716773602195</v>
      </c>
      <c r="F5" s="18"/>
    </row>
    <row r="6" spans="1:11" s="77" customFormat="1" ht="15.75">
      <c r="A6" s="739" t="s">
        <v>234</v>
      </c>
      <c r="B6" s="735">
        <v>21189</v>
      </c>
      <c r="C6" s="735">
        <f>+'V.4.2.NA. Reportes ARL'!D10</f>
        <v>22597</v>
      </c>
      <c r="D6" s="740">
        <f t="shared" si="0"/>
        <v>0.93769084391733415</v>
      </c>
      <c r="F6" s="18"/>
    </row>
    <row r="7" spans="1:11" s="77" customFormat="1" ht="15.75">
      <c r="A7" s="739" t="s">
        <v>485</v>
      </c>
      <c r="B7" s="735">
        <v>26301</v>
      </c>
      <c r="C7" s="735">
        <f>+'V.4.2.NA. Reportes ARL'!D11</f>
        <v>26688</v>
      </c>
      <c r="D7" s="740">
        <f t="shared" si="0"/>
        <v>0.98549910071942448</v>
      </c>
      <c r="F7" s="18"/>
    </row>
    <row r="8" spans="1:11" s="77" customFormat="1" ht="15.75">
      <c r="A8" s="739" t="s">
        <v>573</v>
      </c>
      <c r="B8" s="735">
        <v>28752</v>
      </c>
      <c r="C8" s="735">
        <f>+'V.4.2.NA. Reportes ARL'!D12</f>
        <v>28635</v>
      </c>
      <c r="D8" s="740">
        <f t="shared" si="0"/>
        <v>1.0040859088528025</v>
      </c>
      <c r="F8" s="18"/>
    </row>
    <row r="9" spans="1:11" s="77" customFormat="1" ht="15.75">
      <c r="A9" s="739" t="s">
        <v>581</v>
      </c>
      <c r="B9" s="735">
        <v>30331</v>
      </c>
      <c r="C9" s="735">
        <f>+'V.4.2.NA. Reportes ARL'!D13</f>
        <v>31032</v>
      </c>
      <c r="D9" s="740">
        <f t="shared" si="0"/>
        <v>0.9774104150554267</v>
      </c>
      <c r="F9" s="18"/>
    </row>
    <row r="10" spans="1:11" s="77" customFormat="1" ht="15.75">
      <c r="A10" s="739" t="s">
        <v>949</v>
      </c>
      <c r="B10" s="735">
        <f>2046+2632+3036+2709+2914+2832</f>
        <v>16169</v>
      </c>
      <c r="C10" s="735">
        <f>+'V.4.2.NA. Reportes ARL'!D14</f>
        <v>16559</v>
      </c>
      <c r="D10" s="740">
        <f t="shared" si="0"/>
        <v>0.97644785313122773</v>
      </c>
      <c r="F10" s="18"/>
    </row>
    <row r="11" spans="1:11" s="77" customFormat="1" ht="15.75">
      <c r="A11" s="738" t="s">
        <v>23</v>
      </c>
      <c r="B11" s="684">
        <f>SUM(B4:B10)</f>
        <v>153942</v>
      </c>
      <c r="C11" s="684">
        <f>SUM(C4:C10)</f>
        <v>157650</v>
      </c>
      <c r="D11" s="741">
        <f>B11/C11</f>
        <v>0.97647954329210274</v>
      </c>
    </row>
    <row r="12" spans="1:11" s="77" customFormat="1">
      <c r="A12" s="150"/>
      <c r="B12" s="150"/>
      <c r="K12" s="39"/>
    </row>
    <row r="13" spans="1:11" s="77" customFormat="1">
      <c r="A13" s="150"/>
      <c r="B13" s="150"/>
      <c r="K13" s="39"/>
    </row>
    <row r="14" spans="1:11" s="77" customFormat="1">
      <c r="A14" s="150"/>
      <c r="B14" s="150"/>
    </row>
    <row r="15" spans="1:11" s="77" customFormat="1">
      <c r="A15" s="150"/>
      <c r="B15" s="150"/>
    </row>
    <row r="16" spans="1:11" s="77" customFormat="1"/>
    <row r="17" spans="1:11" s="77" customFormat="1"/>
    <row r="18" spans="1:11" s="77" customFormat="1"/>
    <row r="19" spans="1:11" s="77" customFormat="1"/>
    <row r="20" spans="1:11" s="77" customFormat="1"/>
    <row r="21" spans="1:11" s="77" customFormat="1"/>
    <row r="22" spans="1:11">
      <c r="A22" s="77"/>
      <c r="B22" s="77"/>
      <c r="C22" s="77"/>
      <c r="D22" s="77"/>
      <c r="E22" s="77"/>
    </row>
    <row r="23" spans="1:11">
      <c r="K23" s="148"/>
    </row>
  </sheetData>
  <mergeCells count="1">
    <mergeCell ref="A1:J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O24"/>
  <sheetViews>
    <sheetView showGridLines="0" view="pageBreakPreview" zoomScale="70" zoomScaleNormal="100" zoomScaleSheetLayoutView="70" workbookViewId="0">
      <selection activeCell="D10" sqref="D10"/>
    </sheetView>
  </sheetViews>
  <sheetFormatPr baseColWidth="10" defaultColWidth="11.42578125" defaultRowHeight="15"/>
  <cols>
    <col min="1" max="1" width="18" style="39" customWidth="1"/>
    <col min="2" max="3" width="12.28515625" style="39" customWidth="1"/>
    <col min="4" max="4" width="12.85546875" style="39" customWidth="1"/>
    <col min="5" max="5" width="15.42578125" style="39" customWidth="1"/>
    <col min="6" max="6" width="16"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7" customFormat="1" ht="60.75" customHeight="1">
      <c r="A1" s="1988"/>
      <c r="B1" s="1988"/>
      <c r="C1" s="1988"/>
      <c r="D1" s="1988"/>
      <c r="E1" s="1988"/>
      <c r="F1" s="1988"/>
      <c r="G1" s="1988"/>
      <c r="H1" s="1988"/>
      <c r="I1" s="1988"/>
      <c r="J1" s="1988"/>
      <c r="K1" s="1988"/>
      <c r="L1" s="1988"/>
      <c r="M1" s="151"/>
      <c r="N1" s="151"/>
      <c r="O1" s="151"/>
    </row>
    <row r="2" spans="1:15" s="77" customFormat="1" ht="5.25" customHeight="1">
      <c r="A2" s="141"/>
      <c r="B2" s="141"/>
      <c r="C2" s="141"/>
      <c r="D2" s="141"/>
      <c r="E2" s="141"/>
      <c r="F2" s="141"/>
      <c r="G2" s="141"/>
      <c r="H2" s="141"/>
      <c r="I2" s="141"/>
      <c r="J2" s="141"/>
      <c r="K2" s="141"/>
      <c r="L2" s="141"/>
      <c r="M2" s="151"/>
      <c r="N2" s="39"/>
      <c r="O2" s="151"/>
    </row>
    <row r="3" spans="1:15" s="141" customFormat="1" ht="27" customHeight="1">
      <c r="A3" s="505" t="s">
        <v>0</v>
      </c>
      <c r="B3" s="673" t="s">
        <v>367</v>
      </c>
      <c r="C3" s="668" t="s">
        <v>366</v>
      </c>
      <c r="D3" s="668" t="s">
        <v>143</v>
      </c>
      <c r="E3" s="668" t="s">
        <v>365</v>
      </c>
      <c r="F3" s="669" t="s">
        <v>364</v>
      </c>
      <c r="N3" s="39"/>
    </row>
    <row r="4" spans="1:15" s="77" customFormat="1" ht="15.75">
      <c r="A4" s="517" t="s">
        <v>233</v>
      </c>
      <c r="B4" s="744">
        <v>13326</v>
      </c>
      <c r="C4" s="692">
        <v>1003</v>
      </c>
      <c r="D4" s="702">
        <f>SUM(B4:C4)</f>
        <v>14329</v>
      </c>
      <c r="E4" s="742">
        <f t="shared" ref="E4:E11" si="0">B4/D4</f>
        <v>0.93000209365622166</v>
      </c>
      <c r="F4" s="745">
        <f t="shared" ref="F4:F11" si="1">C4/D4</f>
        <v>6.9997906343778352E-2</v>
      </c>
      <c r="G4" s="18"/>
      <c r="N4" s="39"/>
    </row>
    <row r="5" spans="1:15" s="77" customFormat="1" ht="15.75">
      <c r="A5" s="517" t="s">
        <v>196</v>
      </c>
      <c r="B5" s="744">
        <v>15647</v>
      </c>
      <c r="C5" s="692">
        <v>1224</v>
      </c>
      <c r="D5" s="702">
        <f>SUM(B5:C5)</f>
        <v>16871</v>
      </c>
      <c r="E5" s="742">
        <f t="shared" si="0"/>
        <v>0.92744946950388241</v>
      </c>
      <c r="F5" s="745">
        <f t="shared" si="1"/>
        <v>7.2550530496117593E-2</v>
      </c>
      <c r="G5" s="18"/>
      <c r="M5" s="39"/>
      <c r="N5" s="39"/>
      <c r="O5" s="39"/>
    </row>
    <row r="6" spans="1:15" s="77" customFormat="1" ht="15.75">
      <c r="A6" s="517" t="s">
        <v>234</v>
      </c>
      <c r="B6" s="744">
        <v>20531</v>
      </c>
      <c r="C6" s="692">
        <v>658</v>
      </c>
      <c r="D6" s="702">
        <f>SUM(B6:C6)</f>
        <v>21189</v>
      </c>
      <c r="E6" s="742">
        <f t="shared" si="0"/>
        <v>0.96894615130492234</v>
      </c>
      <c r="F6" s="745">
        <f t="shared" si="1"/>
        <v>3.1053848695077636E-2</v>
      </c>
      <c r="G6" s="18"/>
      <c r="M6" s="39"/>
      <c r="N6" s="39"/>
      <c r="O6" s="39"/>
    </row>
    <row r="7" spans="1:15" s="77" customFormat="1" ht="15" customHeight="1">
      <c r="A7" s="517" t="s">
        <v>485</v>
      </c>
      <c r="B7" s="744">
        <v>25234</v>
      </c>
      <c r="C7" s="692">
        <v>1067</v>
      </c>
      <c r="D7" s="702">
        <f>+C7+B7</f>
        <v>26301</v>
      </c>
      <c r="E7" s="742">
        <f t="shared" si="0"/>
        <v>0.95943120033458806</v>
      </c>
      <c r="F7" s="745">
        <f t="shared" si="1"/>
        <v>4.0568799665411964E-2</v>
      </c>
      <c r="G7" s="18"/>
      <c r="M7" s="39"/>
      <c r="N7" s="39"/>
      <c r="O7" s="39"/>
    </row>
    <row r="8" spans="1:15" s="77" customFormat="1" ht="15" customHeight="1">
      <c r="A8" s="517" t="s">
        <v>573</v>
      </c>
      <c r="B8" s="744">
        <v>27072</v>
      </c>
      <c r="C8" s="692">
        <v>1680</v>
      </c>
      <c r="D8" s="702">
        <f>+C8+B8</f>
        <v>28752</v>
      </c>
      <c r="E8" s="742">
        <f>B8/D8</f>
        <v>0.94156928213689484</v>
      </c>
      <c r="F8" s="745">
        <f>C8/D8</f>
        <v>5.8430717863105178E-2</v>
      </c>
      <c r="G8" s="18"/>
      <c r="M8" s="39"/>
      <c r="N8" s="39"/>
      <c r="O8" s="39"/>
    </row>
    <row r="9" spans="1:15" s="77" customFormat="1" ht="15" customHeight="1">
      <c r="A9" s="517" t="s">
        <v>581</v>
      </c>
      <c r="B9" s="744">
        <v>28722</v>
      </c>
      <c r="C9" s="692">
        <v>1609</v>
      </c>
      <c r="D9" s="702">
        <f>+C9+B9</f>
        <v>30331</v>
      </c>
      <c r="E9" s="742">
        <f>B9/D9</f>
        <v>0.94695196333783915</v>
      </c>
      <c r="F9" s="745">
        <f>C9/D9</f>
        <v>5.3048036662160826E-2</v>
      </c>
      <c r="G9" s="18"/>
      <c r="M9" s="39"/>
      <c r="N9" s="39"/>
      <c r="O9" s="39"/>
    </row>
    <row r="10" spans="1:15" s="77" customFormat="1" ht="15" customHeight="1">
      <c r="A10" s="517" t="s">
        <v>969</v>
      </c>
      <c r="B10" s="744">
        <f>1932+2502+2864+2567+2742+2634</f>
        <v>15241</v>
      </c>
      <c r="C10" s="692">
        <f>114+130+172+142+172+198</f>
        <v>928</v>
      </c>
      <c r="D10" s="702">
        <f>+C10+B10</f>
        <v>16169</v>
      </c>
      <c r="E10" s="742">
        <f>B10/D10</f>
        <v>0.94260622178242315</v>
      </c>
      <c r="F10" s="745">
        <f>C10/D10</f>
        <v>5.7393778217576845E-2</v>
      </c>
      <c r="G10" s="18"/>
      <c r="M10" s="39"/>
      <c r="N10" s="39"/>
      <c r="O10" s="39"/>
    </row>
    <row r="11" spans="1:15" s="77" customFormat="1" ht="15.75">
      <c r="A11" s="691" t="s">
        <v>23</v>
      </c>
      <c r="B11" s="746">
        <f>SUM(B4:B10)</f>
        <v>145773</v>
      </c>
      <c r="C11" s="733">
        <f>SUM(C4:C10)</f>
        <v>8169</v>
      </c>
      <c r="D11" s="733">
        <f>SUM(D4:D10)</f>
        <v>153942</v>
      </c>
      <c r="E11" s="641">
        <f t="shared" si="0"/>
        <v>0.94693455976926377</v>
      </c>
      <c r="F11" s="743">
        <f t="shared" si="1"/>
        <v>5.3065440230736248E-2</v>
      </c>
      <c r="G11" s="18"/>
      <c r="M11" s="39"/>
      <c r="N11" s="39"/>
      <c r="O11" s="39"/>
    </row>
    <row r="12" spans="1:15" s="77" customFormat="1">
      <c r="A12" s="150"/>
      <c r="B12" s="149"/>
      <c r="C12" s="149"/>
      <c r="M12" s="39"/>
      <c r="N12" s="39"/>
      <c r="O12" s="39"/>
    </row>
    <row r="13" spans="1:15" s="77" customFormat="1">
      <c r="A13" s="150"/>
      <c r="B13" s="149"/>
      <c r="C13" s="149"/>
      <c r="L13" s="39"/>
      <c r="M13" s="39"/>
      <c r="N13" s="39"/>
      <c r="O13" s="39"/>
    </row>
    <row r="14" spans="1:15" s="77" customFormat="1">
      <c r="A14" s="150"/>
      <c r="B14" s="149"/>
      <c r="C14" s="149"/>
      <c r="L14" s="39"/>
      <c r="M14" s="39"/>
      <c r="N14" s="39"/>
      <c r="O14" s="39"/>
    </row>
    <row r="15" spans="1:15" s="77" customFormat="1">
      <c r="A15" s="150"/>
      <c r="B15" s="149"/>
      <c r="C15" s="149"/>
    </row>
    <row r="16" spans="1:15" s="77" customFormat="1"/>
    <row r="17" spans="12:12" s="77" customFormat="1"/>
    <row r="18" spans="12:12" s="77" customFormat="1"/>
    <row r="19" spans="12:12" s="77" customFormat="1"/>
    <row r="20" spans="12:12" s="77" customFormat="1"/>
    <row r="21" spans="12:12" s="77" customFormat="1"/>
    <row r="22" spans="12:12" s="77" customFormat="1"/>
    <row r="24" spans="12:12">
      <c r="L24" s="148"/>
    </row>
  </sheetData>
  <mergeCells count="1">
    <mergeCell ref="A1:L1"/>
  </mergeCells>
  <printOptions horizontalCentered="1"/>
  <pageMargins left="0.39370078740157483" right="0.39370078740157483" top="0.23622047244094491" bottom="0.23622047244094491" header="0.31496062992125984" footer="0.31496062992125984"/>
  <pageSetup scale="79"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N22"/>
  <sheetViews>
    <sheetView showGridLines="0" view="pageBreakPreview" zoomScale="70" zoomScaleNormal="100" zoomScaleSheetLayoutView="70" workbookViewId="0">
      <selection activeCell="L9" sqref="L9"/>
    </sheetView>
  </sheetViews>
  <sheetFormatPr baseColWidth="10" defaultColWidth="11.42578125" defaultRowHeight="15"/>
  <cols>
    <col min="1" max="1" width="16.28515625" style="39" customWidth="1"/>
    <col min="2" max="3" width="12.28515625" style="39" customWidth="1"/>
    <col min="4" max="4" width="10.140625" style="39" customWidth="1"/>
    <col min="5" max="5" width="13.7109375" style="39" customWidth="1"/>
    <col min="6" max="6" width="14.42578125" style="39" customWidth="1"/>
    <col min="7" max="7" width="13.85546875" style="39" customWidth="1"/>
    <col min="8" max="8" width="15.140625" style="39" customWidth="1"/>
    <col min="9" max="9" width="13.28515625" style="39" customWidth="1"/>
    <col min="10" max="10" width="18.42578125" style="39" customWidth="1"/>
    <col min="11" max="11" width="19.28515625" style="39" customWidth="1"/>
    <col min="12" max="12" width="26.7109375" style="39" customWidth="1"/>
    <col min="13" max="13" width="4.5703125" style="39" customWidth="1"/>
    <col min="14" max="20" width="11.42578125" style="39"/>
    <col min="21" max="21" width="19.28515625" style="39" customWidth="1"/>
    <col min="22" max="16384" width="11.42578125" style="39"/>
  </cols>
  <sheetData>
    <row r="1" spans="1:14" s="77" customFormat="1" ht="64.5" customHeight="1">
      <c r="A1" s="1987"/>
      <c r="B1" s="1987"/>
      <c r="C1" s="1987"/>
      <c r="D1" s="1987"/>
      <c r="E1" s="1987"/>
      <c r="F1" s="1987"/>
      <c r="G1" s="1987"/>
      <c r="H1" s="1987"/>
      <c r="I1" s="1987"/>
      <c r="J1" s="1987"/>
      <c r="K1" s="1987"/>
      <c r="L1" s="1987"/>
      <c r="M1" s="151"/>
    </row>
    <row r="2" spans="1:14" s="77" customFormat="1" ht="12.75" customHeight="1">
      <c r="A2" s="141"/>
      <c r="B2" s="141"/>
      <c r="C2" s="141"/>
      <c r="D2" s="141"/>
      <c r="E2" s="141"/>
      <c r="F2" s="141"/>
      <c r="G2" s="141"/>
      <c r="H2" s="141"/>
      <c r="I2" s="141"/>
      <c r="J2" s="141"/>
      <c r="K2" s="141"/>
      <c r="L2" s="141"/>
      <c r="M2" s="151"/>
    </row>
    <row r="3" spans="1:14" s="141" customFormat="1" ht="30">
      <c r="A3" s="738" t="s">
        <v>0</v>
      </c>
      <c r="B3" s="736" t="s">
        <v>257</v>
      </c>
      <c r="C3" s="736" t="s">
        <v>256</v>
      </c>
      <c r="D3" s="736" t="s">
        <v>255</v>
      </c>
      <c r="E3" s="736" t="s">
        <v>254</v>
      </c>
      <c r="F3" s="736" t="s">
        <v>143</v>
      </c>
      <c r="G3" s="736" t="s">
        <v>253</v>
      </c>
      <c r="H3" s="736" t="s">
        <v>252</v>
      </c>
      <c r="I3" s="736" t="s">
        <v>251</v>
      </c>
      <c r="J3" s="737" t="s">
        <v>250</v>
      </c>
    </row>
    <row r="4" spans="1:14" s="77" customFormat="1" ht="15.75" customHeight="1">
      <c r="A4" s="683" t="s">
        <v>233</v>
      </c>
      <c r="B4" s="679">
        <v>11014</v>
      </c>
      <c r="C4" s="679">
        <v>2177</v>
      </c>
      <c r="D4" s="679">
        <v>128</v>
      </c>
      <c r="E4" s="679">
        <v>1010</v>
      </c>
      <c r="F4" s="779">
        <f t="shared" ref="F4:F10" si="0">SUM(B4:E4)</f>
        <v>14329</v>
      </c>
      <c r="G4" s="780">
        <f t="shared" ref="G4:G11" si="1">B4/F4</f>
        <v>0.76865098750785121</v>
      </c>
      <c r="H4" s="780">
        <f t="shared" ref="H4:H11" si="2">C4/F4</f>
        <v>0.15192965315095261</v>
      </c>
      <c r="I4" s="780">
        <f t="shared" ref="I4:I11" si="3">D4/F4</f>
        <v>8.9329332123665294E-3</v>
      </c>
      <c r="J4" s="781">
        <f t="shared" ref="J4:J11" si="4">E4/F4</f>
        <v>7.0486426128829646E-2</v>
      </c>
    </row>
    <row r="5" spans="1:14" s="77" customFormat="1" ht="15.75">
      <c r="A5" s="683" t="s">
        <v>196</v>
      </c>
      <c r="B5" s="679">
        <v>12997</v>
      </c>
      <c r="C5" s="679">
        <v>2524</v>
      </c>
      <c r="D5" s="679">
        <v>126</v>
      </c>
      <c r="E5" s="679">
        <v>1224</v>
      </c>
      <c r="F5" s="779">
        <f t="shared" si="0"/>
        <v>16871</v>
      </c>
      <c r="G5" s="780">
        <f t="shared" si="1"/>
        <v>0.77037520004741866</v>
      </c>
      <c r="H5" s="780">
        <f t="shared" si="2"/>
        <v>0.14960583249362813</v>
      </c>
      <c r="I5" s="780">
        <f t="shared" si="3"/>
        <v>7.4684369628356352E-3</v>
      </c>
      <c r="J5" s="781">
        <f t="shared" si="4"/>
        <v>7.2550530496117593E-2</v>
      </c>
    </row>
    <row r="6" spans="1:14" s="77" customFormat="1" ht="15.75">
      <c r="A6" s="683" t="s">
        <v>234</v>
      </c>
      <c r="B6" s="679">
        <v>15709</v>
      </c>
      <c r="C6" s="679">
        <v>4659</v>
      </c>
      <c r="D6" s="679">
        <v>163</v>
      </c>
      <c r="E6" s="679">
        <v>658</v>
      </c>
      <c r="F6" s="779">
        <f t="shared" si="0"/>
        <v>21189</v>
      </c>
      <c r="G6" s="780">
        <f t="shared" si="1"/>
        <v>0.74137524187078196</v>
      </c>
      <c r="H6" s="780">
        <f t="shared" si="2"/>
        <v>0.21987823870876397</v>
      </c>
      <c r="I6" s="780">
        <f t="shared" si="3"/>
        <v>7.6926707253763748E-3</v>
      </c>
      <c r="J6" s="781">
        <f t="shared" si="4"/>
        <v>3.1053848695077636E-2</v>
      </c>
    </row>
    <row r="7" spans="1:14" s="77" customFormat="1" ht="15.75">
      <c r="A7" s="683" t="s">
        <v>485</v>
      </c>
      <c r="B7" s="679">
        <v>18984</v>
      </c>
      <c r="C7" s="679">
        <v>6035</v>
      </c>
      <c r="D7" s="679">
        <v>215</v>
      </c>
      <c r="E7" s="679">
        <v>1067</v>
      </c>
      <c r="F7" s="779">
        <f t="shared" si="0"/>
        <v>26301</v>
      </c>
      <c r="G7" s="780">
        <f t="shared" si="1"/>
        <v>0.72179765027945708</v>
      </c>
      <c r="H7" s="780">
        <f t="shared" si="2"/>
        <v>0.22945895593323448</v>
      </c>
      <c r="I7" s="780">
        <f t="shared" si="3"/>
        <v>8.1745941218965053E-3</v>
      </c>
      <c r="J7" s="781">
        <f t="shared" si="4"/>
        <v>4.0568799665411964E-2</v>
      </c>
    </row>
    <row r="8" spans="1:14" s="77" customFormat="1" ht="15.75">
      <c r="A8" s="683" t="s">
        <v>573</v>
      </c>
      <c r="B8" s="679">
        <v>19765</v>
      </c>
      <c r="C8" s="679">
        <v>7064</v>
      </c>
      <c r="D8" s="679">
        <v>243</v>
      </c>
      <c r="E8" s="679">
        <v>1680</v>
      </c>
      <c r="F8" s="779">
        <f t="shared" si="0"/>
        <v>28752</v>
      </c>
      <c r="G8" s="780">
        <f t="shared" si="1"/>
        <v>0.68743043962159156</v>
      </c>
      <c r="H8" s="780">
        <f t="shared" si="2"/>
        <v>0.24568725653867557</v>
      </c>
      <c r="I8" s="780">
        <f t="shared" si="3"/>
        <v>8.451585976627712E-3</v>
      </c>
      <c r="J8" s="781">
        <f t="shared" si="4"/>
        <v>5.8430717863105178E-2</v>
      </c>
    </row>
    <row r="9" spans="1:14" s="77" customFormat="1" ht="15.75">
      <c r="A9" s="683" t="s">
        <v>581</v>
      </c>
      <c r="B9" s="679">
        <v>20884</v>
      </c>
      <c r="C9" s="679">
        <v>7546</v>
      </c>
      <c r="D9" s="679">
        <v>292</v>
      </c>
      <c r="E9" s="679">
        <v>1609</v>
      </c>
      <c r="F9" s="779">
        <f t="shared" si="0"/>
        <v>30331</v>
      </c>
      <c r="G9" s="780">
        <f t="shared" si="1"/>
        <v>0.68853648082819563</v>
      </c>
      <c r="H9" s="780">
        <f t="shared" si="2"/>
        <v>0.24878836833602586</v>
      </c>
      <c r="I9" s="780">
        <f t="shared" si="3"/>
        <v>9.6271141736177512E-3</v>
      </c>
      <c r="J9" s="781">
        <f t="shared" si="4"/>
        <v>5.3048036662160826E-2</v>
      </c>
    </row>
    <row r="10" spans="1:14" s="77" customFormat="1" ht="15.75">
      <c r="A10" s="683" t="s">
        <v>969</v>
      </c>
      <c r="B10" s="679">
        <f>1338+1746+2015+1860+1955+1937</f>
        <v>10851</v>
      </c>
      <c r="C10" s="679">
        <f>573+734+831+684+749+676</f>
        <v>4247</v>
      </c>
      <c r="D10" s="679">
        <f>21+22+18+23+38+21</f>
        <v>143</v>
      </c>
      <c r="E10" s="679">
        <f>16169-15241</f>
        <v>928</v>
      </c>
      <c r="F10" s="779">
        <f t="shared" si="0"/>
        <v>16169</v>
      </c>
      <c r="G10" s="780">
        <f t="shared" si="1"/>
        <v>0.67109901663677407</v>
      </c>
      <c r="H10" s="780">
        <f t="shared" si="2"/>
        <v>0.26266312078669057</v>
      </c>
      <c r="I10" s="780">
        <f t="shared" si="3"/>
        <v>8.8440843589585004E-3</v>
      </c>
      <c r="J10" s="781">
        <f t="shared" si="4"/>
        <v>5.7393778217576845E-2</v>
      </c>
    </row>
    <row r="11" spans="1:14" s="77" customFormat="1" ht="15.75">
      <c r="A11" s="678" t="s">
        <v>23</v>
      </c>
      <c r="B11" s="684">
        <f>SUM(B4:B10)</f>
        <v>110204</v>
      </c>
      <c r="C11" s="684">
        <f>SUM(C4:C10)</f>
        <v>34252</v>
      </c>
      <c r="D11" s="684">
        <f>SUM(D4:D10)</f>
        <v>1310</v>
      </c>
      <c r="E11" s="684">
        <f>SUM(E4:E10)</f>
        <v>8176</v>
      </c>
      <c r="F11" s="684">
        <f>SUM(F4:F10)</f>
        <v>153942</v>
      </c>
      <c r="G11" s="685">
        <f t="shared" si="1"/>
        <v>0.71588000675579111</v>
      </c>
      <c r="H11" s="685">
        <f t="shared" si="2"/>
        <v>0.22249938288446297</v>
      </c>
      <c r="I11" s="685">
        <f t="shared" si="3"/>
        <v>8.5096984578607524E-3</v>
      </c>
      <c r="J11" s="686">
        <f t="shared" si="4"/>
        <v>5.3110911901885126E-2</v>
      </c>
    </row>
    <row r="12" spans="1:14" s="77" customFormat="1" ht="9.75" customHeight="1">
      <c r="A12" s="1995" t="s">
        <v>493</v>
      </c>
      <c r="B12" s="1995"/>
      <c r="C12" s="1995"/>
      <c r="D12" s="1995"/>
      <c r="E12" s="1995"/>
      <c r="F12" s="1995"/>
      <c r="G12" s="1995"/>
      <c r="H12" s="1995"/>
      <c r="I12" s="1995"/>
      <c r="J12" s="1995"/>
      <c r="K12" s="1995"/>
      <c r="L12" s="1995"/>
    </row>
    <row r="13" spans="1:14" s="77" customFormat="1">
      <c r="A13" s="1995"/>
      <c r="B13" s="1995"/>
      <c r="C13" s="1995"/>
      <c r="D13" s="1995"/>
      <c r="E13" s="1995"/>
      <c r="F13" s="1995"/>
      <c r="G13" s="1995"/>
      <c r="H13" s="1995"/>
      <c r="I13" s="1995"/>
      <c r="J13" s="1995"/>
      <c r="K13" s="1995"/>
      <c r="L13" s="1995"/>
    </row>
    <row r="14" spans="1:14" s="77" customFormat="1">
      <c r="A14" s="150"/>
      <c r="B14" s="149"/>
      <c r="C14" s="149"/>
      <c r="D14" s="149"/>
      <c r="E14" s="149"/>
    </row>
    <row r="15" spans="1:14" s="77" customFormat="1">
      <c r="A15" s="150"/>
      <c r="B15" s="149"/>
      <c r="C15" s="149"/>
      <c r="D15" s="149"/>
      <c r="E15" s="149"/>
      <c r="N15" s="165"/>
    </row>
    <row r="16" spans="1:14" s="77" customFormat="1"/>
    <row r="17" s="77" customFormat="1"/>
    <row r="18" s="77" customFormat="1"/>
    <row r="19" s="77" customFormat="1"/>
    <row r="20" s="77" customFormat="1"/>
    <row r="21" s="77" customFormat="1"/>
    <row r="22" s="77" customFormat="1"/>
  </sheetData>
  <mergeCells count="2">
    <mergeCell ref="A1:L1"/>
    <mergeCell ref="A12:L13"/>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R22"/>
  <sheetViews>
    <sheetView showGridLines="0" view="pageBreakPreview" zoomScale="70" zoomScaleNormal="100" zoomScaleSheetLayoutView="70" workbookViewId="0">
      <selection activeCell="S1" sqref="S1:AW1048576"/>
    </sheetView>
  </sheetViews>
  <sheetFormatPr baseColWidth="10" defaultColWidth="11.42578125" defaultRowHeight="15"/>
  <cols>
    <col min="1" max="1" width="16.140625" style="39" customWidth="1"/>
    <col min="2" max="2" width="10.7109375" style="39" customWidth="1"/>
    <col min="3" max="3" width="11.28515625" style="39" customWidth="1"/>
    <col min="4" max="4" width="9.140625" style="39" customWidth="1"/>
    <col min="5" max="5" width="9.5703125" style="39" customWidth="1"/>
    <col min="6" max="6" width="11.140625" style="39" customWidth="1"/>
    <col min="7" max="7" width="15.42578125" style="39" customWidth="1"/>
    <col min="8" max="8" width="10.7109375" style="39" customWidth="1"/>
    <col min="9" max="9" width="11.140625" style="39" customWidth="1"/>
    <col min="10" max="10" width="15" style="39" customWidth="1"/>
    <col min="11" max="11" width="14.5703125" style="39" customWidth="1"/>
    <col min="12" max="12" width="19.5703125" style="39" customWidth="1"/>
    <col min="13" max="13" width="14.7109375" style="39" customWidth="1"/>
    <col min="14" max="14" width="12.85546875" style="39" customWidth="1"/>
    <col min="15" max="18" width="15.5703125" style="39" customWidth="1"/>
    <col min="19" max="16384" width="11.42578125" style="39"/>
  </cols>
  <sheetData>
    <row r="1" spans="1:18" s="77" customFormat="1" ht="65.25" customHeight="1">
      <c r="A1" s="1988"/>
      <c r="B1" s="1988"/>
      <c r="C1" s="1988"/>
      <c r="D1" s="1988"/>
      <c r="E1" s="1988"/>
      <c r="F1" s="1988"/>
      <c r="G1" s="1988"/>
      <c r="H1" s="1988"/>
      <c r="I1" s="1988"/>
      <c r="J1" s="1988"/>
      <c r="K1" s="1988"/>
      <c r="L1" s="1988"/>
      <c r="M1" s="1988"/>
      <c r="N1" s="1988"/>
      <c r="O1" s="213"/>
      <c r="P1" s="213"/>
      <c r="Q1" s="213"/>
      <c r="R1" s="213"/>
    </row>
    <row r="2" spans="1:18" s="38" customFormat="1" ht="9.75" customHeight="1">
      <c r="A2" s="701"/>
      <c r="B2" s="185"/>
      <c r="C2" s="185"/>
      <c r="D2" s="185"/>
      <c r="E2" s="185"/>
      <c r="F2" s="185"/>
      <c r="G2" s="185"/>
      <c r="H2" s="185"/>
      <c r="I2" s="185"/>
      <c r="J2" s="185"/>
      <c r="K2" s="185"/>
      <c r="L2" s="185"/>
      <c r="M2" s="185"/>
      <c r="N2" s="888"/>
      <c r="O2" s="185"/>
      <c r="P2" s="185"/>
      <c r="Q2" s="185"/>
      <c r="R2" s="185"/>
    </row>
    <row r="3" spans="1:18" s="141" customFormat="1" ht="47.25">
      <c r="A3" s="785" t="s">
        <v>0</v>
      </c>
      <c r="B3" s="681" t="s">
        <v>380</v>
      </c>
      <c r="C3" s="681" t="s">
        <v>379</v>
      </c>
      <c r="D3" s="681" t="s">
        <v>378</v>
      </c>
      <c r="E3" s="681" t="s">
        <v>377</v>
      </c>
      <c r="F3" s="681" t="s">
        <v>376</v>
      </c>
      <c r="G3" s="681" t="s">
        <v>375</v>
      </c>
      <c r="H3" s="681" t="s">
        <v>143</v>
      </c>
      <c r="I3" s="681" t="s">
        <v>374</v>
      </c>
      <c r="J3" s="681" t="s">
        <v>373</v>
      </c>
      <c r="K3" s="681" t="s">
        <v>372</v>
      </c>
      <c r="L3" s="681" t="s">
        <v>371</v>
      </c>
      <c r="M3" s="681" t="s">
        <v>370</v>
      </c>
      <c r="N3" s="682" t="s">
        <v>250</v>
      </c>
      <c r="O3" s="227"/>
      <c r="P3" s="227"/>
      <c r="Q3" s="227"/>
      <c r="R3" s="227"/>
    </row>
    <row r="4" spans="1:18" s="77" customFormat="1" ht="15.75">
      <c r="A4" s="683" t="s">
        <v>233</v>
      </c>
      <c r="B4" s="735">
        <v>6838</v>
      </c>
      <c r="C4" s="735">
        <v>5185</v>
      </c>
      <c r="D4" s="735">
        <v>853</v>
      </c>
      <c r="E4" s="735">
        <v>140</v>
      </c>
      <c r="F4" s="735">
        <v>310</v>
      </c>
      <c r="G4" s="735">
        <v>1003</v>
      </c>
      <c r="H4" s="782">
        <f>SUM(B4:G4)</f>
        <v>14329</v>
      </c>
      <c r="I4" s="783">
        <f t="shared" ref="I4:I11" si="0">B4/H4</f>
        <v>0.47721404145439317</v>
      </c>
      <c r="J4" s="783">
        <f t="shared" ref="J4:J11" si="1">C4/H4</f>
        <v>0.36185358364156606</v>
      </c>
      <c r="K4" s="783">
        <f t="shared" ref="K4:K11" si="2">D4/H4</f>
        <v>5.9529625235536322E-2</v>
      </c>
      <c r="L4" s="783">
        <f t="shared" ref="L4:L11" si="3">E4/H4</f>
        <v>9.7703957010258913E-3</v>
      </c>
      <c r="M4" s="783">
        <f t="shared" ref="M4:M11" si="4">F4/H4</f>
        <v>2.163444762370019E-2</v>
      </c>
      <c r="N4" s="783">
        <f t="shared" ref="N4:N11" si="5">G4/H4</f>
        <v>6.9997906343778352E-2</v>
      </c>
      <c r="O4" s="735"/>
      <c r="P4" s="735"/>
      <c r="Q4" s="735"/>
      <c r="R4" s="228"/>
    </row>
    <row r="5" spans="1:18" s="77" customFormat="1" ht="15.75">
      <c r="A5" s="683" t="s">
        <v>196</v>
      </c>
      <c r="B5" s="735">
        <v>8908</v>
      </c>
      <c r="C5" s="735">
        <v>5224</v>
      </c>
      <c r="D5" s="735">
        <v>880</v>
      </c>
      <c r="E5" s="735">
        <v>148</v>
      </c>
      <c r="F5" s="735">
        <v>487</v>
      </c>
      <c r="G5" s="735">
        <v>1224</v>
      </c>
      <c r="H5" s="782">
        <f>SUM(B5:G5)</f>
        <v>16871</v>
      </c>
      <c r="I5" s="783">
        <f t="shared" si="0"/>
        <v>0.52800663861063368</v>
      </c>
      <c r="J5" s="783">
        <f t="shared" si="1"/>
        <v>0.3096437674115346</v>
      </c>
      <c r="K5" s="783">
        <f t="shared" si="2"/>
        <v>5.2160512121391736E-2</v>
      </c>
      <c r="L5" s="783">
        <f t="shared" si="3"/>
        <v>8.7724497658704277E-3</v>
      </c>
      <c r="M5" s="783">
        <f t="shared" si="4"/>
        <v>2.8866101594452017E-2</v>
      </c>
      <c r="N5" s="783">
        <f t="shared" si="5"/>
        <v>7.2550530496117593E-2</v>
      </c>
      <c r="O5" s="735"/>
      <c r="P5" s="735"/>
      <c r="Q5" s="735"/>
      <c r="R5" s="228"/>
    </row>
    <row r="6" spans="1:18" s="77" customFormat="1" ht="15.75">
      <c r="A6" s="683" t="s">
        <v>234</v>
      </c>
      <c r="B6" s="735">
        <v>11414</v>
      </c>
      <c r="C6" s="735">
        <v>7139</v>
      </c>
      <c r="D6" s="735">
        <v>1109</v>
      </c>
      <c r="E6" s="735">
        <v>180</v>
      </c>
      <c r="F6" s="735">
        <v>689</v>
      </c>
      <c r="G6" s="735">
        <v>658</v>
      </c>
      <c r="H6" s="782">
        <f>SUM(B6:G6)</f>
        <v>21189</v>
      </c>
      <c r="I6" s="783">
        <f t="shared" si="0"/>
        <v>0.53867572797206098</v>
      </c>
      <c r="J6" s="783">
        <f t="shared" si="1"/>
        <v>0.33692010005191375</v>
      </c>
      <c r="K6" s="783">
        <f t="shared" si="2"/>
        <v>5.2338477511916559E-2</v>
      </c>
      <c r="L6" s="783">
        <f t="shared" si="3"/>
        <v>8.4949738071640954E-3</v>
      </c>
      <c r="M6" s="783">
        <f t="shared" si="4"/>
        <v>3.2516871961867005E-2</v>
      </c>
      <c r="N6" s="783">
        <f t="shared" si="5"/>
        <v>3.1053848695077636E-2</v>
      </c>
      <c r="O6" s="735"/>
      <c r="P6" s="735"/>
      <c r="Q6" s="735"/>
      <c r="R6" s="228"/>
    </row>
    <row r="7" spans="1:18" s="77" customFormat="1" ht="15.75">
      <c r="A7" s="683" t="s">
        <v>485</v>
      </c>
      <c r="B7" s="735">
        <v>15120</v>
      </c>
      <c r="C7" s="735">
        <v>8407</v>
      </c>
      <c r="D7" s="735">
        <v>937</v>
      </c>
      <c r="E7" s="735">
        <v>154</v>
      </c>
      <c r="F7" s="735">
        <v>616</v>
      </c>
      <c r="G7" s="735">
        <v>1067</v>
      </c>
      <c r="H7" s="784">
        <f>+B7+C7+D7+E7+F7+G7</f>
        <v>26301</v>
      </c>
      <c r="I7" s="783">
        <f t="shared" si="0"/>
        <v>0.57488308429337287</v>
      </c>
      <c r="J7" s="783">
        <f t="shared" si="1"/>
        <v>0.31964564085015779</v>
      </c>
      <c r="K7" s="783">
        <f t="shared" si="2"/>
        <v>3.562602182426524E-2</v>
      </c>
      <c r="L7" s="783">
        <f t="shared" si="3"/>
        <v>5.8552906733584272E-3</v>
      </c>
      <c r="M7" s="783">
        <f t="shared" si="4"/>
        <v>2.3421162693433709E-2</v>
      </c>
      <c r="N7" s="783">
        <f t="shared" si="5"/>
        <v>4.0568799665411964E-2</v>
      </c>
      <c r="O7" s="735"/>
      <c r="P7" s="735"/>
      <c r="Q7" s="735"/>
      <c r="R7" s="228"/>
    </row>
    <row r="8" spans="1:18" s="77" customFormat="1" ht="15.75">
      <c r="A8" s="683" t="s">
        <v>573</v>
      </c>
      <c r="B8" s="735">
        <v>16356</v>
      </c>
      <c r="C8" s="735">
        <v>9164</v>
      </c>
      <c r="D8" s="735">
        <v>1031</v>
      </c>
      <c r="E8" s="735">
        <v>158</v>
      </c>
      <c r="F8" s="735">
        <v>363</v>
      </c>
      <c r="G8" s="735">
        <v>1680</v>
      </c>
      <c r="H8" s="784">
        <f>+B8+C8+D8+E8+F8+G8</f>
        <v>28752</v>
      </c>
      <c r="I8" s="783">
        <f t="shared" si="0"/>
        <v>0.5688647746243739</v>
      </c>
      <c r="J8" s="783">
        <f t="shared" si="1"/>
        <v>0.31872565386755702</v>
      </c>
      <c r="K8" s="783">
        <f t="shared" si="2"/>
        <v>3.5858375069560376E-2</v>
      </c>
      <c r="L8" s="783">
        <f t="shared" si="3"/>
        <v>5.4952698942682251E-3</v>
      </c>
      <c r="M8" s="783">
        <f t="shared" si="4"/>
        <v>1.2625208681135225E-2</v>
      </c>
      <c r="N8" s="783">
        <f t="shared" si="5"/>
        <v>5.8430717863105178E-2</v>
      </c>
      <c r="O8" s="735"/>
      <c r="P8" s="735"/>
      <c r="Q8" s="735"/>
      <c r="R8" s="228"/>
    </row>
    <row r="9" spans="1:18" s="77" customFormat="1" ht="15.75">
      <c r="A9" s="683" t="s">
        <v>581</v>
      </c>
      <c r="B9" s="735">
        <v>16770</v>
      </c>
      <c r="C9" s="735">
        <v>10494</v>
      </c>
      <c r="D9" s="735">
        <v>895</v>
      </c>
      <c r="E9" s="735">
        <v>220</v>
      </c>
      <c r="F9" s="735">
        <v>343</v>
      </c>
      <c r="G9" s="735">
        <v>1609</v>
      </c>
      <c r="H9" s="784">
        <f>+B9+C9+D9+E9+F9+G9</f>
        <v>30331</v>
      </c>
      <c r="I9" s="783">
        <f t="shared" si="0"/>
        <v>0.55289967360126602</v>
      </c>
      <c r="J9" s="783">
        <f t="shared" si="1"/>
        <v>0.34598265800665984</v>
      </c>
      <c r="K9" s="783">
        <f t="shared" si="2"/>
        <v>2.9507764333520162E-2</v>
      </c>
      <c r="L9" s="783">
        <f t="shared" si="3"/>
        <v>7.2533051993010451E-3</v>
      </c>
      <c r="M9" s="783">
        <f t="shared" si="4"/>
        <v>1.1308562197092083E-2</v>
      </c>
      <c r="N9" s="783">
        <f t="shared" si="5"/>
        <v>5.3048036662160826E-2</v>
      </c>
      <c r="O9" s="735"/>
      <c r="P9" s="735"/>
      <c r="Q9" s="735"/>
      <c r="R9" s="228"/>
    </row>
    <row r="10" spans="1:18" s="77" customFormat="1" ht="15.75">
      <c r="A10" s="683" t="s">
        <v>968</v>
      </c>
      <c r="B10" s="735">
        <f>1094+1464+1698+1589+1622+1617</f>
        <v>9084</v>
      </c>
      <c r="C10" s="735">
        <f>748+917+1016+882+998+898</f>
        <v>5459</v>
      </c>
      <c r="D10" s="735">
        <f>63+96+106+72+86+102</f>
        <v>525</v>
      </c>
      <c r="E10" s="735">
        <f>16+12+16+11+16+13</f>
        <v>84</v>
      </c>
      <c r="F10" s="735">
        <f>11+13+28+13+20+4</f>
        <v>89</v>
      </c>
      <c r="G10" s="735">
        <f>16169-15241</f>
        <v>928</v>
      </c>
      <c r="H10" s="784">
        <f>+B10+C10+D10+E10+F10+G10</f>
        <v>16169</v>
      </c>
      <c r="I10" s="783">
        <f t="shared" si="0"/>
        <v>0.56181582039705613</v>
      </c>
      <c r="J10" s="783">
        <f t="shared" si="1"/>
        <v>0.33762137423464655</v>
      </c>
      <c r="K10" s="783">
        <f t="shared" si="2"/>
        <v>3.2469540478693798E-2</v>
      </c>
      <c r="L10" s="783">
        <f t="shared" si="3"/>
        <v>5.1951264765910075E-3</v>
      </c>
      <c r="M10" s="783">
        <f t="shared" si="4"/>
        <v>5.50436019543571E-3</v>
      </c>
      <c r="N10" s="783">
        <f t="shared" si="5"/>
        <v>5.7393778217576845E-2</v>
      </c>
      <c r="O10" s="735"/>
      <c r="P10" s="735"/>
      <c r="Q10" s="735"/>
      <c r="R10" s="228"/>
    </row>
    <row r="11" spans="1:18" s="77" customFormat="1" ht="15.75">
      <c r="A11" s="678" t="s">
        <v>23</v>
      </c>
      <c r="B11" s="684">
        <f>SUM(B4:B10)</f>
        <v>84490</v>
      </c>
      <c r="C11" s="684">
        <f t="shared" ref="C11:H11" si="6">SUM(C4:C10)</f>
        <v>51072</v>
      </c>
      <c r="D11" s="684">
        <f t="shared" si="6"/>
        <v>6230</v>
      </c>
      <c r="E11" s="684">
        <f t="shared" si="6"/>
        <v>1084</v>
      </c>
      <c r="F11" s="684">
        <f t="shared" si="6"/>
        <v>2897</v>
      </c>
      <c r="G11" s="684">
        <f t="shared" si="6"/>
        <v>8169</v>
      </c>
      <c r="H11" s="684">
        <f t="shared" si="6"/>
        <v>153942</v>
      </c>
      <c r="I11" s="786">
        <f t="shared" si="0"/>
        <v>0.54884307076691219</v>
      </c>
      <c r="J11" s="786">
        <f t="shared" si="1"/>
        <v>0.33176131270218656</v>
      </c>
      <c r="K11" s="786">
        <f t="shared" si="2"/>
        <v>4.0469787322498084E-2</v>
      </c>
      <c r="L11" s="786">
        <f t="shared" si="3"/>
        <v>7.041613075054241E-3</v>
      </c>
      <c r="M11" s="786">
        <f t="shared" si="4"/>
        <v>1.8818775902612671E-2</v>
      </c>
      <c r="N11" s="741">
        <f t="shared" si="5"/>
        <v>5.3065440230736248E-2</v>
      </c>
      <c r="O11" s="735"/>
      <c r="P11" s="735"/>
      <c r="Q11" s="735"/>
      <c r="R11" s="229"/>
    </row>
    <row r="12" spans="1:18" s="77" customFormat="1">
      <c r="A12" s="150"/>
      <c r="B12" s="149"/>
      <c r="C12" s="149"/>
      <c r="D12" s="149"/>
      <c r="E12" s="149"/>
      <c r="F12" s="149"/>
      <c r="G12" s="149"/>
    </row>
    <row r="13" spans="1:18" s="77" customFormat="1">
      <c r="A13" s="150"/>
      <c r="B13" s="149"/>
      <c r="C13" s="149"/>
      <c r="D13" s="149"/>
      <c r="E13" s="149"/>
      <c r="F13" s="149"/>
      <c r="G13" s="149"/>
    </row>
    <row r="14" spans="1:18" s="77" customFormat="1">
      <c r="A14" s="150"/>
      <c r="B14" s="149"/>
      <c r="C14" s="149"/>
      <c r="D14" s="149"/>
      <c r="E14" s="149"/>
      <c r="F14" s="149"/>
      <c r="G14" s="149"/>
    </row>
    <row r="15" spans="1:18" s="77" customFormat="1">
      <c r="A15" s="150"/>
      <c r="B15" s="149"/>
      <c r="C15" s="149"/>
      <c r="D15" s="149"/>
      <c r="E15" s="149"/>
      <c r="F15" s="149"/>
      <c r="G15" s="149"/>
    </row>
    <row r="16" spans="1:18" s="77" customFormat="1">
      <c r="P16" s="182"/>
    </row>
    <row r="17" s="77" customFormat="1"/>
    <row r="18" s="77" customFormat="1"/>
    <row r="19" s="77" customFormat="1"/>
    <row r="20" s="77" customFormat="1"/>
    <row r="21" s="77" customFormat="1"/>
    <row r="22" s="77" customFormat="1"/>
  </sheetData>
  <mergeCells count="1">
    <mergeCell ref="A1:N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U44"/>
  <sheetViews>
    <sheetView showGridLines="0" view="pageBreakPreview" topLeftCell="B1" zoomScale="55" zoomScaleNormal="85" zoomScaleSheetLayoutView="55" workbookViewId="0">
      <selection activeCell="L10" sqref="L10"/>
    </sheetView>
  </sheetViews>
  <sheetFormatPr baseColWidth="10" defaultColWidth="11.42578125" defaultRowHeight="13.5" customHeight="1"/>
  <cols>
    <col min="1" max="1" width="18.140625" style="70" customWidth="1"/>
    <col min="2" max="2" width="18" style="70" customWidth="1"/>
    <col min="3" max="3" width="17.5703125" style="70" hidden="1" customWidth="1"/>
    <col min="4" max="4" width="22.140625" style="70" customWidth="1"/>
    <col min="5" max="5" width="19.85546875" style="70" customWidth="1"/>
    <col min="6" max="6" width="2.85546875" style="70" hidden="1" customWidth="1"/>
    <col min="7" max="7" width="24.5703125" style="70" customWidth="1"/>
    <col min="8" max="8" width="22.85546875" style="70" customWidth="1"/>
    <col min="9" max="11" width="21.42578125" style="70" customWidth="1"/>
    <col min="12" max="12" width="21.85546875" style="70" customWidth="1"/>
    <col min="13" max="13" width="20.28515625" style="70" customWidth="1"/>
    <col min="14" max="14" width="34" style="70" customWidth="1"/>
    <col min="15" max="15" width="6.28515625" style="70" customWidth="1"/>
    <col min="16" max="16" width="16.28515625" style="1303" customWidth="1"/>
    <col min="17" max="17" width="13.42578125" style="1303" customWidth="1"/>
    <col min="18" max="18" width="13.7109375" style="70" customWidth="1"/>
    <col min="19" max="16384" width="11.42578125" style="70"/>
  </cols>
  <sheetData>
    <row r="2" spans="1:21" ht="65.25" customHeight="1"/>
    <row r="3" spans="1:21" ht="21.75" customHeight="1">
      <c r="A3" s="1830"/>
      <c r="B3" s="1830"/>
      <c r="C3" s="1830"/>
      <c r="D3" s="1830"/>
      <c r="E3" s="1830"/>
      <c r="F3" s="1830"/>
      <c r="G3" s="1830"/>
      <c r="H3" s="1830"/>
      <c r="I3" s="1830"/>
      <c r="J3" s="1830"/>
      <c r="K3" s="1830"/>
      <c r="L3" s="1830"/>
      <c r="M3" s="1830"/>
      <c r="N3" s="1830"/>
      <c r="P3" s="1304"/>
      <c r="Q3" s="1304"/>
    </row>
    <row r="4" spans="1:21" s="306" customFormat="1" ht="43.5" customHeight="1">
      <c r="A4" s="1161" t="s">
        <v>686</v>
      </c>
      <c r="B4" s="1161" t="s">
        <v>130</v>
      </c>
      <c r="C4" s="1164" t="s">
        <v>550</v>
      </c>
      <c r="D4" s="1164" t="s">
        <v>702</v>
      </c>
      <c r="E4" s="1164" t="s">
        <v>77</v>
      </c>
      <c r="F4" s="1164" t="s">
        <v>580</v>
      </c>
      <c r="G4" s="1160" t="s">
        <v>703</v>
      </c>
      <c r="H4" s="1160" t="s">
        <v>23</v>
      </c>
      <c r="I4" s="1349" t="s">
        <v>44</v>
      </c>
      <c r="J4" s="301"/>
      <c r="K4" s="301"/>
      <c r="L4" s="302"/>
      <c r="M4" s="302"/>
      <c r="N4" s="302"/>
      <c r="O4" s="302"/>
      <c r="P4" s="1305"/>
      <c r="Q4" s="1306"/>
      <c r="R4" s="1307"/>
      <c r="U4" s="307"/>
    </row>
    <row r="5" spans="1:21" ht="26.25">
      <c r="A5" s="1166" t="s">
        <v>687</v>
      </c>
      <c r="B5" s="1616">
        <v>14054</v>
      </c>
      <c r="C5" s="1617"/>
      <c r="D5" s="1618">
        <f>B5/H5</f>
        <v>0.59192182959187967</v>
      </c>
      <c r="E5" s="1616">
        <v>9689</v>
      </c>
      <c r="F5" s="1162"/>
      <c r="G5" s="1165">
        <f>E5/H5</f>
        <v>0.40807817040812028</v>
      </c>
      <c r="H5" s="1347">
        <f>B5+E5</f>
        <v>23743</v>
      </c>
      <c r="I5" s="1346">
        <f>+H5/$H$20</f>
        <v>1.3910957684159213E-2</v>
      </c>
      <c r="J5" s="124"/>
      <c r="K5" s="124"/>
      <c r="L5" s="260"/>
      <c r="M5" s="257"/>
      <c r="N5" s="257"/>
      <c r="O5" s="258"/>
      <c r="P5" s="1507"/>
      <c r="Q5" s="1508"/>
      <c r="R5" s="259"/>
      <c r="U5" s="170"/>
    </row>
    <row r="6" spans="1:21" ht="26.25">
      <c r="A6" s="1167" t="s">
        <v>688</v>
      </c>
      <c r="B6" s="1616">
        <v>121723</v>
      </c>
      <c r="C6" s="1617"/>
      <c r="D6" s="1618">
        <f t="shared" ref="D6:D19" si="0">B6/H6</f>
        <v>0.5759527211817812</v>
      </c>
      <c r="E6" s="1616">
        <v>89619</v>
      </c>
      <c r="F6" s="1162"/>
      <c r="G6" s="1165">
        <f t="shared" ref="G6:G19" si="1">E6/H6</f>
        <v>0.4240472788182188</v>
      </c>
      <c r="H6" s="1348">
        <f t="shared" ref="H6:H20" si="2">B6+E6</f>
        <v>211342</v>
      </c>
      <c r="I6" s="1350">
        <f t="shared" ref="I6:I19" si="3">+H6/$H$20</f>
        <v>0.1238246901775503</v>
      </c>
      <c r="J6" s="165"/>
      <c r="K6" s="124"/>
      <c r="L6" s="260"/>
      <c r="M6" s="257"/>
      <c r="N6" s="257"/>
      <c r="O6" s="258"/>
      <c r="P6" s="1305"/>
      <c r="Q6" s="1508"/>
      <c r="R6" s="259"/>
      <c r="U6" s="170"/>
    </row>
    <row r="7" spans="1:21" ht="26.25">
      <c r="A7" s="1167" t="s">
        <v>689</v>
      </c>
      <c r="B7" s="1616">
        <v>148742</v>
      </c>
      <c r="C7" s="1617"/>
      <c r="D7" s="1618">
        <f t="shared" si="0"/>
        <v>0.56042983041140593</v>
      </c>
      <c r="E7" s="1616">
        <v>116665</v>
      </c>
      <c r="F7" s="1162"/>
      <c r="G7" s="1165">
        <f t="shared" si="1"/>
        <v>0.43957016958859413</v>
      </c>
      <c r="H7" s="1348">
        <f t="shared" si="2"/>
        <v>265407</v>
      </c>
      <c r="I7" s="1350">
        <f t="shared" si="3"/>
        <v>0.15550122335339445</v>
      </c>
      <c r="J7" s="124"/>
      <c r="K7" s="124"/>
      <c r="L7" s="260"/>
      <c r="M7" s="257"/>
      <c r="N7" s="257"/>
      <c r="O7" s="258"/>
      <c r="P7" s="1305"/>
      <c r="Q7" s="1508"/>
      <c r="R7" s="1308"/>
      <c r="U7" s="170"/>
    </row>
    <row r="8" spans="1:21" ht="26.25">
      <c r="A8" s="1167" t="s">
        <v>690</v>
      </c>
      <c r="B8" s="1616">
        <v>137688</v>
      </c>
      <c r="C8" s="1617"/>
      <c r="D8" s="1618">
        <f t="shared" si="0"/>
        <v>0.54342446452040682</v>
      </c>
      <c r="E8" s="1616">
        <v>115683</v>
      </c>
      <c r="F8" s="1162"/>
      <c r="G8" s="1165">
        <f t="shared" si="1"/>
        <v>0.45657553547959318</v>
      </c>
      <c r="H8" s="1348">
        <f t="shared" si="2"/>
        <v>253371</v>
      </c>
      <c r="I8" s="1350">
        <f t="shared" si="3"/>
        <v>0.14844936441869622</v>
      </c>
      <c r="J8" s="259"/>
      <c r="K8" s="259"/>
      <c r="L8" s="261"/>
      <c r="M8" s="257"/>
      <c r="N8" s="257"/>
      <c r="O8" s="258"/>
      <c r="P8" s="1305"/>
      <c r="Q8" s="1508"/>
      <c r="R8" s="1309"/>
    </row>
    <row r="9" spans="1:21" ht="26.25">
      <c r="A9" s="1167" t="s">
        <v>691</v>
      </c>
      <c r="B9" s="1616">
        <v>123875</v>
      </c>
      <c r="C9" s="1617"/>
      <c r="D9" s="1618">
        <f t="shared" si="0"/>
        <v>0.53296991704815333</v>
      </c>
      <c r="E9" s="1616">
        <v>108549</v>
      </c>
      <c r="F9" s="1162"/>
      <c r="G9" s="1165">
        <f t="shared" si="1"/>
        <v>0.46703008295184661</v>
      </c>
      <c r="H9" s="1348">
        <f t="shared" si="2"/>
        <v>232424</v>
      </c>
      <c r="I9" s="1350">
        <f t="shared" si="3"/>
        <v>0.13617657536044397</v>
      </c>
      <c r="J9" s="262"/>
      <c r="K9" s="262"/>
      <c r="L9" s="261"/>
      <c r="M9" s="257"/>
      <c r="N9" s="257"/>
      <c r="O9" s="258"/>
      <c r="P9" s="1305"/>
      <c r="Q9" s="1508"/>
      <c r="R9" s="1309"/>
      <c r="U9" s="170"/>
    </row>
    <row r="10" spans="1:21" ht="26.25">
      <c r="A10" s="1167" t="s">
        <v>692</v>
      </c>
      <c r="B10" s="1616">
        <v>104653</v>
      </c>
      <c r="C10" s="1617"/>
      <c r="D10" s="1618">
        <f t="shared" si="0"/>
        <v>0.53257169028777895</v>
      </c>
      <c r="E10" s="1616">
        <v>91852</v>
      </c>
      <c r="F10" s="1162"/>
      <c r="G10" s="1165">
        <f t="shared" si="1"/>
        <v>0.46742830971222105</v>
      </c>
      <c r="H10" s="1348">
        <f t="shared" si="2"/>
        <v>196505</v>
      </c>
      <c r="I10" s="1350">
        <f t="shared" si="3"/>
        <v>0.11513173313084725</v>
      </c>
      <c r="J10" s="124"/>
      <c r="K10" s="124"/>
      <c r="L10" s="261"/>
      <c r="M10" s="257"/>
      <c r="N10" s="257"/>
      <c r="O10" s="258"/>
      <c r="P10" s="1305"/>
      <c r="Q10" s="1508"/>
      <c r="R10" s="1309"/>
    </row>
    <row r="11" spans="1:21" ht="26.25">
      <c r="A11" s="1167" t="s">
        <v>693</v>
      </c>
      <c r="B11" s="1616">
        <v>91028</v>
      </c>
      <c r="C11" s="1617"/>
      <c r="D11" s="1618">
        <f t="shared" si="0"/>
        <v>0.53619372433983048</v>
      </c>
      <c r="E11" s="1616">
        <v>78739</v>
      </c>
      <c r="F11" s="1162"/>
      <c r="G11" s="1165">
        <f t="shared" si="1"/>
        <v>0.46380627566016952</v>
      </c>
      <c r="H11" s="1348">
        <f t="shared" si="2"/>
        <v>169767</v>
      </c>
      <c r="I11" s="1350">
        <f t="shared" si="3"/>
        <v>9.9466013274087411E-2</v>
      </c>
      <c r="J11" s="124"/>
      <c r="K11" s="124"/>
      <c r="L11" s="261"/>
      <c r="M11" s="257"/>
      <c r="N11" s="257"/>
      <c r="O11" s="258"/>
      <c r="P11" s="1305"/>
      <c r="Q11" s="1508"/>
      <c r="R11" s="1309"/>
    </row>
    <row r="12" spans="1:21" ht="26.25">
      <c r="A12" s="1167" t="s">
        <v>694</v>
      </c>
      <c r="B12" s="1616">
        <v>73382</v>
      </c>
      <c r="C12" s="1617"/>
      <c r="D12" s="1618">
        <f t="shared" si="0"/>
        <v>0.55128840808353996</v>
      </c>
      <c r="E12" s="1616">
        <v>59728</v>
      </c>
      <c r="F12" s="1162"/>
      <c r="G12" s="1165">
        <f t="shared" si="1"/>
        <v>0.4487115919164601</v>
      </c>
      <c r="H12" s="1348">
        <f t="shared" si="2"/>
        <v>133110</v>
      </c>
      <c r="I12" s="1350">
        <f t="shared" si="3"/>
        <v>7.7988778896450867E-2</v>
      </c>
      <c r="J12" s="100"/>
      <c r="K12" s="100"/>
      <c r="L12" s="261"/>
      <c r="M12" s="257"/>
      <c r="N12" s="257"/>
      <c r="O12" s="262"/>
      <c r="P12" s="1305"/>
      <c r="Q12" s="1508"/>
      <c r="R12" s="1309"/>
    </row>
    <row r="13" spans="1:21" ht="26.25">
      <c r="A13" s="1167" t="s">
        <v>695</v>
      </c>
      <c r="B13" s="1616">
        <v>55127</v>
      </c>
      <c r="C13" s="1617"/>
      <c r="D13" s="1618">
        <f t="shared" si="0"/>
        <v>0.57859714306705712</v>
      </c>
      <c r="E13" s="1616">
        <v>40150</v>
      </c>
      <c r="F13" s="1162"/>
      <c r="G13" s="1165">
        <f t="shared" si="1"/>
        <v>0.42140285693294288</v>
      </c>
      <c r="H13" s="1348">
        <f t="shared" si="2"/>
        <v>95277</v>
      </c>
      <c r="I13" s="1350">
        <f t="shared" si="3"/>
        <v>5.5822529388604533E-2</v>
      </c>
      <c r="J13" s="100"/>
      <c r="K13" s="100"/>
      <c r="L13" s="263"/>
      <c r="M13" s="257"/>
      <c r="N13" s="257"/>
      <c r="O13" s="258"/>
      <c r="P13" s="1305"/>
      <c r="Q13" s="1509"/>
      <c r="R13" s="1309"/>
    </row>
    <row r="14" spans="1:21" ht="23.25">
      <c r="A14" s="1167" t="s">
        <v>696</v>
      </c>
      <c r="B14" s="1616">
        <v>36866</v>
      </c>
      <c r="C14" s="1617"/>
      <c r="D14" s="1618">
        <f t="shared" si="0"/>
        <v>0.60929494595577294</v>
      </c>
      <c r="E14" s="1616">
        <v>23640</v>
      </c>
      <c r="F14" s="1162"/>
      <c r="G14" s="1165">
        <f t="shared" si="1"/>
        <v>0.39070505404422701</v>
      </c>
      <c r="H14" s="1348">
        <f t="shared" si="2"/>
        <v>60506</v>
      </c>
      <c r="I14" s="1350">
        <f t="shared" si="3"/>
        <v>3.5450297167069766E-2</v>
      </c>
      <c r="J14" s="100"/>
      <c r="K14" s="100"/>
      <c r="L14" s="263"/>
      <c r="M14" s="257"/>
      <c r="N14" s="257"/>
      <c r="O14" s="258"/>
      <c r="P14" s="1305"/>
      <c r="Q14" s="1306"/>
      <c r="R14" s="1309"/>
    </row>
    <row r="15" spans="1:21" ht="23.25">
      <c r="A15" s="1167" t="s">
        <v>697</v>
      </c>
      <c r="B15" s="1616">
        <v>21512</v>
      </c>
      <c r="C15" s="1617"/>
      <c r="D15" s="1618">
        <f t="shared" si="0"/>
        <v>0.64517289985904092</v>
      </c>
      <c r="E15" s="1616">
        <v>11831</v>
      </c>
      <c r="F15" s="1162"/>
      <c r="G15" s="1165">
        <f t="shared" si="1"/>
        <v>0.35482710014095914</v>
      </c>
      <c r="H15" s="1348">
        <f t="shared" si="2"/>
        <v>33343</v>
      </c>
      <c r="I15" s="1350">
        <f t="shared" si="3"/>
        <v>1.9535570991994301E-2</v>
      </c>
      <c r="J15" s="100"/>
      <c r="K15" s="100"/>
      <c r="L15" s="100"/>
      <c r="M15" s="100"/>
      <c r="P15" s="1305"/>
      <c r="Q15" s="1306"/>
      <c r="R15" s="1309"/>
    </row>
    <row r="16" spans="1:21" ht="23.25">
      <c r="A16" s="1167" t="s">
        <v>698</v>
      </c>
      <c r="B16" s="1616">
        <v>10850</v>
      </c>
      <c r="C16" s="1163"/>
      <c r="D16" s="1618">
        <f t="shared" si="0"/>
        <v>0.67041522491349481</v>
      </c>
      <c r="E16" s="1616">
        <v>5334</v>
      </c>
      <c r="F16" s="1163"/>
      <c r="G16" s="1165">
        <f t="shared" si="1"/>
        <v>0.32958477508650519</v>
      </c>
      <c r="H16" s="1348">
        <f t="shared" si="2"/>
        <v>16184</v>
      </c>
      <c r="I16" s="1350">
        <f t="shared" si="3"/>
        <v>9.4821606014586501E-3</v>
      </c>
      <c r="J16" s="100"/>
      <c r="K16" s="100"/>
      <c r="L16" s="100"/>
      <c r="M16" s="100"/>
      <c r="P16" s="1305"/>
      <c r="Q16" s="1306"/>
      <c r="R16" s="1309"/>
    </row>
    <row r="17" spans="1:18" ht="23.25">
      <c r="A17" s="1167" t="s">
        <v>699</v>
      </c>
      <c r="B17" s="1616">
        <v>6021</v>
      </c>
      <c r="C17" s="1163"/>
      <c r="D17" s="1618">
        <f t="shared" si="0"/>
        <v>0.67644084934277049</v>
      </c>
      <c r="E17" s="1616">
        <v>2880</v>
      </c>
      <c r="F17" s="1163"/>
      <c r="G17" s="1165">
        <f t="shared" si="1"/>
        <v>0.32355915065722951</v>
      </c>
      <c r="H17" s="1348">
        <f t="shared" si="2"/>
        <v>8901</v>
      </c>
      <c r="I17" s="1350">
        <f t="shared" si="3"/>
        <v>5.2150711513583442E-3</v>
      </c>
      <c r="J17" s="100"/>
      <c r="K17" s="100"/>
      <c r="L17" s="100"/>
      <c r="M17" s="100"/>
      <c r="P17" s="1305"/>
      <c r="Q17" s="1306"/>
      <c r="R17" s="1309"/>
    </row>
    <row r="18" spans="1:18" ht="23.25">
      <c r="A18" s="1167" t="s">
        <v>700</v>
      </c>
      <c r="B18" s="1616">
        <v>2812</v>
      </c>
      <c r="C18" s="1163"/>
      <c r="D18" s="1618">
        <f t="shared" si="0"/>
        <v>0.67000238265427692</v>
      </c>
      <c r="E18" s="1616">
        <v>1385</v>
      </c>
      <c r="F18" s="1163"/>
      <c r="G18" s="1165">
        <f t="shared" si="1"/>
        <v>0.32999761734572314</v>
      </c>
      <c r="H18" s="1348">
        <f t="shared" si="2"/>
        <v>4197</v>
      </c>
      <c r="I18" s="1350">
        <f t="shared" si="3"/>
        <v>2.4590106305191518E-3</v>
      </c>
      <c r="J18" s="100"/>
      <c r="K18" s="100"/>
      <c r="L18" s="100"/>
      <c r="M18" s="100"/>
      <c r="P18" s="1305"/>
      <c r="Q18" s="1306"/>
      <c r="R18" s="259"/>
    </row>
    <row r="19" spans="1:18" ht="23.25">
      <c r="A19" s="1168" t="s">
        <v>701</v>
      </c>
      <c r="B19" s="1616">
        <v>1828</v>
      </c>
      <c r="C19" s="1163"/>
      <c r="D19" s="1618">
        <f t="shared" si="0"/>
        <v>0.67528629479128188</v>
      </c>
      <c r="E19" s="1616">
        <v>879</v>
      </c>
      <c r="F19" s="1163"/>
      <c r="G19" s="1165">
        <f t="shared" si="1"/>
        <v>0.32471370520871812</v>
      </c>
      <c r="H19" s="1348">
        <f t="shared" si="2"/>
        <v>2707</v>
      </c>
      <c r="I19" s="1351">
        <f t="shared" si="3"/>
        <v>1.5860237733655812E-3</v>
      </c>
      <c r="J19" s="100"/>
      <c r="K19" s="100"/>
      <c r="L19" s="100"/>
      <c r="M19" s="100"/>
      <c r="P19" s="1305"/>
      <c r="Q19" s="1306"/>
      <c r="R19" s="259"/>
    </row>
    <row r="20" spans="1:18" s="306" customFormat="1" ht="20.25" customHeight="1">
      <c r="A20" s="1413" t="s">
        <v>23</v>
      </c>
      <c r="B20" s="1414">
        <f>SUM(B5:B19)</f>
        <v>950161</v>
      </c>
      <c r="C20" s="1415"/>
      <c r="D20" s="1415"/>
      <c r="E20" s="1416">
        <f>SUM(E5:E19)</f>
        <v>756623</v>
      </c>
      <c r="F20" s="1415"/>
      <c r="G20" s="1415"/>
      <c r="H20" s="1417">
        <f t="shared" si="2"/>
        <v>1706784</v>
      </c>
      <c r="I20" s="1418">
        <f>SUM(I5:I19)</f>
        <v>1</v>
      </c>
      <c r="J20" s="1419"/>
      <c r="K20" s="1419"/>
      <c r="L20" s="1419"/>
      <c r="M20" s="1419"/>
      <c r="P20" s="1305"/>
      <c r="Q20" s="1306"/>
      <c r="R20" s="304"/>
    </row>
    <row r="21" spans="1:18" ht="13.5" customHeight="1">
      <c r="A21" s="100"/>
      <c r="B21" s="100"/>
      <c r="C21" s="100"/>
      <c r="D21" s="100"/>
      <c r="E21" s="100"/>
      <c r="F21" s="100"/>
      <c r="G21" s="100"/>
      <c r="H21" s="100"/>
      <c r="I21" s="100"/>
      <c r="J21" s="100"/>
      <c r="K21" s="100"/>
      <c r="L21" s="100"/>
      <c r="M21" s="100"/>
      <c r="P21" s="1305"/>
      <c r="Q21" s="1306"/>
      <c r="R21" s="259"/>
    </row>
    <row r="22" spans="1:18" ht="13.5" customHeight="1">
      <c r="A22" s="100"/>
      <c r="B22" s="100"/>
      <c r="C22" s="100"/>
      <c r="D22" s="100"/>
      <c r="E22" s="100"/>
      <c r="F22" s="100"/>
      <c r="G22" s="100"/>
      <c r="H22" s="100"/>
      <c r="I22" s="100"/>
      <c r="J22" s="100"/>
      <c r="K22" s="100"/>
      <c r="L22" s="100"/>
      <c r="M22" s="100"/>
      <c r="P22" s="1305"/>
      <c r="Q22" s="1306"/>
      <c r="R22" s="259"/>
    </row>
    <row r="23" spans="1:18" ht="13.5" customHeight="1">
      <c r="A23" s="100"/>
      <c r="B23" s="100"/>
      <c r="C23" s="100"/>
      <c r="D23" s="100"/>
      <c r="E23" s="100"/>
      <c r="F23" s="100"/>
      <c r="G23" s="100"/>
      <c r="H23" s="100"/>
      <c r="I23" s="100"/>
      <c r="J23" s="100"/>
      <c r="K23" s="100"/>
      <c r="L23" s="100"/>
      <c r="M23" s="100"/>
      <c r="P23" s="1305"/>
      <c r="Q23" s="1306"/>
      <c r="R23" s="259"/>
    </row>
    <row r="24" spans="1:18" ht="13.5" customHeight="1">
      <c r="A24" s="100"/>
      <c r="B24" s="100"/>
      <c r="C24" s="100"/>
      <c r="D24" s="100"/>
      <c r="E24" s="100"/>
      <c r="F24" s="100"/>
      <c r="G24" s="100"/>
      <c r="H24" s="100"/>
      <c r="I24" s="100"/>
      <c r="J24" s="100"/>
      <c r="K24" s="100"/>
      <c r="L24" s="100"/>
      <c r="M24" s="100"/>
      <c r="P24" s="1305"/>
      <c r="Q24" s="1306"/>
      <c r="R24" s="259"/>
    </row>
    <row r="25" spans="1:18" ht="13.5" customHeight="1">
      <c r="A25" s="100"/>
      <c r="B25" s="100"/>
      <c r="C25" s="100"/>
      <c r="D25" s="100"/>
      <c r="E25" s="100"/>
      <c r="F25" s="100"/>
      <c r="G25" s="100"/>
      <c r="H25" s="100"/>
      <c r="I25" s="100"/>
      <c r="J25" s="100"/>
      <c r="K25" s="100"/>
      <c r="L25" s="100"/>
      <c r="M25" s="100"/>
      <c r="P25" s="1305"/>
      <c r="Q25" s="1306"/>
      <c r="R25" s="259"/>
    </row>
    <row r="26" spans="1:18" ht="13.5" customHeight="1">
      <c r="A26" s="100"/>
      <c r="B26" s="100"/>
      <c r="C26" s="100"/>
      <c r="D26" s="100"/>
      <c r="E26" s="100"/>
      <c r="F26" s="100"/>
      <c r="G26" s="100"/>
      <c r="H26" s="100"/>
      <c r="I26" s="100"/>
      <c r="J26" s="100"/>
      <c r="K26" s="100"/>
      <c r="L26" s="100"/>
      <c r="M26" s="100"/>
      <c r="P26" s="1305"/>
      <c r="Q26" s="1306"/>
      <c r="R26" s="259"/>
    </row>
    <row r="27" spans="1:18" ht="13.5" customHeight="1">
      <c r="A27" s="100"/>
      <c r="B27" s="100"/>
      <c r="C27" s="100"/>
      <c r="D27" s="100"/>
      <c r="E27" s="100"/>
      <c r="F27" s="100"/>
      <c r="G27" s="100"/>
      <c r="H27" s="100"/>
      <c r="I27" s="100"/>
      <c r="J27" s="100"/>
      <c r="K27" s="100"/>
      <c r="L27" s="100"/>
      <c r="M27" s="100"/>
      <c r="P27" s="1305"/>
      <c r="Q27" s="1306"/>
      <c r="R27" s="259"/>
    </row>
    <row r="28" spans="1:18" ht="13.5" customHeight="1">
      <c r="A28" s="100"/>
      <c r="B28" s="100"/>
      <c r="C28" s="100"/>
      <c r="D28" s="100"/>
      <c r="E28" s="100"/>
      <c r="F28" s="100"/>
      <c r="G28" s="100"/>
      <c r="H28" s="100"/>
      <c r="I28" s="100"/>
      <c r="J28" s="100"/>
      <c r="K28" s="100"/>
      <c r="L28" s="100"/>
      <c r="M28" s="100"/>
      <c r="P28" s="1305"/>
      <c r="Q28" s="1305"/>
    </row>
    <row r="29" spans="1:18" ht="13.5" customHeight="1">
      <c r="A29" s="100"/>
      <c r="B29" s="100"/>
      <c r="C29" s="100"/>
      <c r="D29" s="100"/>
      <c r="E29" s="100"/>
      <c r="F29" s="100"/>
      <c r="G29" s="100"/>
      <c r="H29" s="100"/>
      <c r="I29" s="100"/>
      <c r="J29" s="100"/>
      <c r="K29" s="100"/>
      <c r="L29" s="100"/>
      <c r="M29" s="100"/>
      <c r="P29" s="1305"/>
      <c r="Q29" s="1305"/>
    </row>
    <row r="30" spans="1:18" ht="13.5" customHeight="1">
      <c r="A30" s="100"/>
      <c r="B30" s="100"/>
      <c r="C30" s="100"/>
      <c r="D30" s="100"/>
      <c r="E30" s="100"/>
      <c r="F30" s="100"/>
      <c r="G30" s="100"/>
      <c r="H30" s="100"/>
      <c r="I30" s="100"/>
      <c r="J30" s="100"/>
      <c r="K30" s="100"/>
      <c r="L30" s="100"/>
      <c r="M30" s="100"/>
      <c r="P30" s="1305"/>
      <c r="Q30" s="1305"/>
    </row>
    <row r="31" spans="1:18" ht="13.5" customHeight="1">
      <c r="A31" s="100"/>
      <c r="B31" s="100"/>
      <c r="C31" s="100"/>
      <c r="D31" s="100"/>
      <c r="E31" s="100"/>
      <c r="F31" s="100"/>
      <c r="G31" s="100"/>
      <c r="H31" s="100"/>
      <c r="I31" s="100"/>
      <c r="J31" s="100"/>
      <c r="K31" s="100"/>
      <c r="L31" s="100"/>
      <c r="M31" s="100"/>
      <c r="P31" s="1305"/>
      <c r="Q31" s="1305"/>
    </row>
    <row r="32" spans="1:18" ht="13.5" customHeight="1">
      <c r="A32" s="100"/>
      <c r="B32" s="100"/>
      <c r="C32" s="100"/>
      <c r="D32" s="100"/>
      <c r="E32" s="100"/>
      <c r="F32" s="100"/>
      <c r="G32" s="100"/>
      <c r="H32" s="100"/>
      <c r="I32" s="100"/>
      <c r="J32" s="100"/>
      <c r="K32" s="100"/>
      <c r="L32" s="100"/>
      <c r="M32" s="100"/>
      <c r="P32" s="1305"/>
      <c r="Q32" s="1305"/>
    </row>
    <row r="33" spans="1:17" ht="13.5" customHeight="1">
      <c r="A33" s="100"/>
      <c r="B33" s="100"/>
      <c r="C33" s="100"/>
      <c r="D33" s="100"/>
      <c r="E33" s="100"/>
      <c r="F33" s="100"/>
      <c r="G33" s="100"/>
      <c r="H33" s="100"/>
      <c r="I33" s="100"/>
      <c r="J33" s="100"/>
      <c r="K33" s="100"/>
      <c r="L33" s="100"/>
      <c r="M33" s="100"/>
      <c r="P33" s="1305"/>
      <c r="Q33" s="1305"/>
    </row>
    <row r="34" spans="1:17" ht="13.5" customHeight="1">
      <c r="A34" s="100"/>
      <c r="B34" s="100"/>
      <c r="C34" s="100"/>
      <c r="D34" s="100"/>
      <c r="E34" s="100"/>
      <c r="F34" s="100"/>
      <c r="G34" s="100"/>
      <c r="H34" s="100"/>
      <c r="I34" s="100"/>
      <c r="J34" s="100"/>
      <c r="K34" s="100"/>
      <c r="L34" s="100"/>
      <c r="M34" s="100"/>
      <c r="P34" s="1305"/>
      <c r="Q34" s="1305"/>
    </row>
    <row r="35" spans="1:17" ht="13.5" customHeight="1">
      <c r="A35" s="100"/>
      <c r="B35" s="100"/>
      <c r="C35" s="100"/>
      <c r="D35" s="100"/>
      <c r="E35" s="100"/>
      <c r="F35" s="100"/>
      <c r="G35" s="100"/>
      <c r="H35" s="100"/>
      <c r="I35" s="100"/>
      <c r="J35" s="100"/>
      <c r="K35" s="100"/>
      <c r="L35" s="100"/>
      <c r="M35" s="100"/>
      <c r="P35" s="1305"/>
      <c r="Q35" s="1305"/>
    </row>
    <row r="36" spans="1:17" ht="13.5" customHeight="1">
      <c r="A36" s="100"/>
      <c r="B36" s="100"/>
      <c r="C36" s="100"/>
      <c r="D36" s="100"/>
      <c r="E36" s="100"/>
      <c r="F36" s="100"/>
      <c r="G36" s="100"/>
      <c r="H36" s="100"/>
      <c r="I36" s="100"/>
      <c r="J36" s="100"/>
      <c r="K36" s="100"/>
      <c r="L36" s="100"/>
      <c r="M36" s="100"/>
      <c r="P36" s="1305"/>
      <c r="Q36" s="1305"/>
    </row>
    <row r="37" spans="1:17" ht="13.5" customHeight="1">
      <c r="A37" s="100"/>
      <c r="B37" s="100"/>
      <c r="C37" s="100"/>
      <c r="D37" s="100"/>
      <c r="E37" s="100"/>
      <c r="F37" s="100"/>
      <c r="G37" s="100"/>
      <c r="H37" s="100"/>
      <c r="I37" s="100"/>
      <c r="J37" s="100"/>
      <c r="K37" s="100"/>
      <c r="L37" s="100"/>
      <c r="M37" s="100"/>
      <c r="P37" s="1305"/>
      <c r="Q37" s="1305"/>
    </row>
    <row r="38" spans="1:17" ht="13.5" customHeight="1">
      <c r="P38" s="1305"/>
      <c r="Q38" s="1305"/>
    </row>
    <row r="39" spans="1:17" ht="13.5" customHeight="1">
      <c r="P39" s="1305"/>
      <c r="Q39" s="1305"/>
    </row>
    <row r="40" spans="1:17" ht="13.5" customHeight="1">
      <c r="P40" s="1305"/>
      <c r="Q40" s="1305"/>
    </row>
    <row r="41" spans="1:17" ht="13.5" customHeight="1">
      <c r="P41" s="1305"/>
      <c r="Q41" s="1305"/>
    </row>
    <row r="42" spans="1:17" ht="13.5" customHeight="1">
      <c r="P42" s="1305"/>
      <c r="Q42" s="1305"/>
    </row>
    <row r="43" spans="1:17" ht="13.5" customHeight="1">
      <c r="P43" s="1305"/>
      <c r="Q43" s="1305"/>
    </row>
    <row r="44" spans="1:17" ht="13.5" customHeight="1">
      <c r="P44" s="1305"/>
      <c r="Q44" s="1305"/>
    </row>
  </sheetData>
  <mergeCells count="1">
    <mergeCell ref="A3:N3"/>
  </mergeCells>
  <printOptions horizontalCentered="1" verticalCentered="1"/>
  <pageMargins left="0.4" right="0.4" top="0.25" bottom="0.25" header="0.31496062992126" footer="0.31496062992126"/>
  <pageSetup scale="48"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AE22"/>
  <sheetViews>
    <sheetView showGridLines="0" view="pageBreakPreview" zoomScale="70" zoomScaleNormal="100" zoomScaleSheetLayoutView="70" workbookViewId="0">
      <selection activeCell="X26" sqref="X26"/>
    </sheetView>
  </sheetViews>
  <sheetFormatPr baseColWidth="10" defaultColWidth="11.42578125" defaultRowHeight="15"/>
  <cols>
    <col min="1" max="1" width="17.28515625" style="160" customWidth="1"/>
    <col min="2" max="2" width="10.140625" style="39" customWidth="1"/>
    <col min="3" max="3" width="11" style="39" customWidth="1"/>
    <col min="4" max="4" width="14" style="39" customWidth="1"/>
    <col min="5" max="5" width="11.5703125" style="39" customWidth="1"/>
    <col min="6" max="6" width="10.5703125" style="39" customWidth="1"/>
    <col min="7" max="7" width="13.5703125" style="39" customWidth="1"/>
    <col min="8" max="8" width="10.140625" style="39" customWidth="1"/>
    <col min="9" max="9" width="13.140625" style="39" customWidth="1"/>
    <col min="10" max="10" width="13.28515625" style="39" customWidth="1"/>
    <col min="11" max="11" width="13.7109375" style="39" customWidth="1"/>
    <col min="12" max="13" width="11.7109375" style="39" customWidth="1"/>
    <col min="14" max="14" width="14.140625" style="39" customWidth="1"/>
    <col min="15" max="15" width="13.28515625" style="39" customWidth="1"/>
    <col min="16" max="16" width="11.42578125" style="39" hidden="1" customWidth="1"/>
    <col min="17" max="23" width="0" style="39" hidden="1" customWidth="1"/>
    <col min="24" max="24" width="21.42578125" style="39" customWidth="1"/>
    <col min="25" max="16384" width="11.42578125" style="39"/>
  </cols>
  <sheetData>
    <row r="1" spans="1:24" s="77" customFormat="1" ht="73.5" customHeight="1">
      <c r="A1" s="1988"/>
      <c r="B1" s="1988"/>
      <c r="C1" s="1988"/>
      <c r="D1" s="1988"/>
      <c r="E1" s="1988"/>
      <c r="F1" s="1988"/>
      <c r="G1" s="1988"/>
      <c r="H1" s="1988"/>
      <c r="I1" s="1988"/>
      <c r="J1" s="1988"/>
      <c r="K1" s="1988"/>
      <c r="L1" s="1988"/>
      <c r="M1" s="1988"/>
      <c r="N1" s="1988"/>
      <c r="O1" s="151"/>
      <c r="P1" s="151"/>
    </row>
    <row r="2" spans="1:24" s="38" customFormat="1" ht="3" customHeight="1">
      <c r="A2" s="787"/>
      <c r="B2" s="203"/>
      <c r="C2" s="203"/>
      <c r="D2" s="203"/>
      <c r="E2" s="203"/>
      <c r="F2" s="203"/>
      <c r="G2" s="203"/>
      <c r="H2" s="203"/>
      <c r="I2" s="203"/>
      <c r="J2" s="203"/>
      <c r="K2" s="203"/>
      <c r="L2" s="203"/>
      <c r="M2" s="203"/>
      <c r="N2" s="788"/>
      <c r="O2" s="187"/>
      <c r="P2" s="187"/>
    </row>
    <row r="3" spans="1:24" s="141" customFormat="1" ht="55.5" customHeight="1">
      <c r="A3" s="699" t="s">
        <v>0</v>
      </c>
      <c r="B3" s="681" t="s">
        <v>390</v>
      </c>
      <c r="C3" s="681" t="s">
        <v>389</v>
      </c>
      <c r="D3" s="681" t="s">
        <v>388</v>
      </c>
      <c r="E3" s="681" t="s">
        <v>387</v>
      </c>
      <c r="F3" s="681" t="s">
        <v>386</v>
      </c>
      <c r="G3" s="681" t="s">
        <v>451</v>
      </c>
      <c r="H3" s="681" t="s">
        <v>143</v>
      </c>
      <c r="I3" s="681" t="s">
        <v>385</v>
      </c>
      <c r="J3" s="681" t="s">
        <v>384</v>
      </c>
      <c r="K3" s="681" t="s">
        <v>383</v>
      </c>
      <c r="L3" s="681" t="s">
        <v>382</v>
      </c>
      <c r="M3" s="681" t="s">
        <v>381</v>
      </c>
      <c r="N3" s="682" t="s">
        <v>250</v>
      </c>
    </row>
    <row r="4" spans="1:24" s="77" customFormat="1" ht="15.75">
      <c r="A4" s="706" t="s">
        <v>233</v>
      </c>
      <c r="B4" s="679">
        <v>372</v>
      </c>
      <c r="C4" s="679">
        <v>339</v>
      </c>
      <c r="D4" s="679">
        <v>498</v>
      </c>
      <c r="E4" s="679">
        <v>11663</v>
      </c>
      <c r="F4" s="679">
        <v>458</v>
      </c>
      <c r="G4" s="679">
        <v>999</v>
      </c>
      <c r="H4" s="779">
        <f>SUM(B4:G4)</f>
        <v>14329</v>
      </c>
      <c r="I4" s="780">
        <f t="shared" ref="I4:I11" si="0">B4/H4</f>
        <v>2.5961337148440226E-2</v>
      </c>
      <c r="J4" s="780">
        <f t="shared" ref="J4:J11" si="1">C4/H4</f>
        <v>2.3658315304626979E-2</v>
      </c>
      <c r="K4" s="780">
        <f t="shared" ref="K4:K11" si="2">D4/H4</f>
        <v>3.4754693279363529E-2</v>
      </c>
      <c r="L4" s="780">
        <f t="shared" ref="L4:L11" si="3">E4/H4</f>
        <v>0.81394375043617839</v>
      </c>
      <c r="M4" s="780">
        <f t="shared" ref="M4:M11" si="4">F4/H4</f>
        <v>3.196315165049899E-2</v>
      </c>
      <c r="N4" s="781">
        <f t="shared" ref="N4:N11" si="5">G4/H4</f>
        <v>6.9718752180891894E-2</v>
      </c>
    </row>
    <row r="5" spans="1:24" s="77" customFormat="1" ht="17.25" customHeight="1">
      <c r="A5" s="706" t="s">
        <v>196</v>
      </c>
      <c r="B5" s="679">
        <v>415</v>
      </c>
      <c r="C5" s="679">
        <v>357</v>
      </c>
      <c r="D5" s="679">
        <v>484</v>
      </c>
      <c r="E5" s="679">
        <v>13583</v>
      </c>
      <c r="F5" s="679">
        <v>519</v>
      </c>
      <c r="G5" s="679">
        <v>1513</v>
      </c>
      <c r="H5" s="779">
        <f t="shared" ref="H5:H10" si="6">SUM(B5:G5)</f>
        <v>16871</v>
      </c>
      <c r="I5" s="780">
        <f t="shared" si="0"/>
        <v>2.4598423329974514E-2</v>
      </c>
      <c r="J5" s="780">
        <f t="shared" si="1"/>
        <v>2.1160571394700966E-2</v>
      </c>
      <c r="K5" s="780">
        <f t="shared" si="2"/>
        <v>2.8688281666765455E-2</v>
      </c>
      <c r="L5" s="780">
        <f t="shared" si="3"/>
        <v>0.80510935925552729</v>
      </c>
      <c r="M5" s="780">
        <f t="shared" si="4"/>
        <v>3.0762847489775355E-2</v>
      </c>
      <c r="N5" s="781">
        <f t="shared" si="5"/>
        <v>8.9680516863256482E-2</v>
      </c>
    </row>
    <row r="6" spans="1:24" s="77" customFormat="1" ht="15.75">
      <c r="A6" s="706" t="s">
        <v>234</v>
      </c>
      <c r="B6" s="679">
        <v>472</v>
      </c>
      <c r="C6" s="679">
        <v>799</v>
      </c>
      <c r="D6" s="679">
        <v>550</v>
      </c>
      <c r="E6" s="679">
        <v>17568</v>
      </c>
      <c r="F6" s="679">
        <v>540</v>
      </c>
      <c r="G6" s="679">
        <v>1260</v>
      </c>
      <c r="H6" s="779">
        <f t="shared" si="6"/>
        <v>21189</v>
      </c>
      <c r="I6" s="780">
        <f t="shared" si="0"/>
        <v>2.2275709094341404E-2</v>
      </c>
      <c r="J6" s="780">
        <f t="shared" si="1"/>
        <v>3.770824484402284E-2</v>
      </c>
      <c r="K6" s="780">
        <f t="shared" si="2"/>
        <v>2.5956864410779178E-2</v>
      </c>
      <c r="L6" s="780">
        <f t="shared" si="3"/>
        <v>0.82910944357921568</v>
      </c>
      <c r="M6" s="780">
        <f t="shared" si="4"/>
        <v>2.5484921421492283E-2</v>
      </c>
      <c r="N6" s="781">
        <f t="shared" si="5"/>
        <v>5.9464816650148661E-2</v>
      </c>
    </row>
    <row r="7" spans="1:24" s="77" customFormat="1" ht="15.75">
      <c r="A7" s="706" t="s">
        <v>485</v>
      </c>
      <c r="B7" s="679">
        <v>554</v>
      </c>
      <c r="C7" s="679">
        <v>1203</v>
      </c>
      <c r="D7" s="679">
        <v>541</v>
      </c>
      <c r="E7" s="679">
        <v>22091</v>
      </c>
      <c r="F7" s="679">
        <v>651</v>
      </c>
      <c r="G7" s="679">
        <v>1261</v>
      </c>
      <c r="H7" s="779">
        <f t="shared" si="6"/>
        <v>26301</v>
      </c>
      <c r="I7" s="780">
        <f t="shared" si="0"/>
        <v>2.1063837876886812E-2</v>
      </c>
      <c r="J7" s="780">
        <f t="shared" si="1"/>
        <v>4.5739705714611611E-2</v>
      </c>
      <c r="K7" s="780">
        <f t="shared" si="2"/>
        <v>2.0569560092772138E-2</v>
      </c>
      <c r="L7" s="780">
        <f t="shared" si="3"/>
        <v>0.83993004068286381</v>
      </c>
      <c r="M7" s="780">
        <f t="shared" si="4"/>
        <v>2.4751910573742444E-2</v>
      </c>
      <c r="N7" s="781">
        <f t="shared" si="5"/>
        <v>4.794494505912323E-2</v>
      </c>
    </row>
    <row r="8" spans="1:24" s="77" customFormat="1" ht="15.75">
      <c r="A8" s="706" t="s">
        <v>573</v>
      </c>
      <c r="B8" s="679">
        <v>1154</v>
      </c>
      <c r="C8" s="679">
        <v>954</v>
      </c>
      <c r="D8" s="679">
        <v>428</v>
      </c>
      <c r="E8" s="679">
        <v>23762</v>
      </c>
      <c r="F8" s="679">
        <v>650</v>
      </c>
      <c r="G8" s="679">
        <v>1804</v>
      </c>
      <c r="H8" s="779">
        <f t="shared" si="6"/>
        <v>28752</v>
      </c>
      <c r="I8" s="780">
        <f t="shared" si="0"/>
        <v>4.013633834168058E-2</v>
      </c>
      <c r="J8" s="780">
        <f t="shared" si="1"/>
        <v>3.3180300500834724E-2</v>
      </c>
      <c r="K8" s="780">
        <f t="shared" si="2"/>
        <v>1.4885920979410128E-2</v>
      </c>
      <c r="L8" s="780">
        <f t="shared" si="3"/>
        <v>0.82644685587089595</v>
      </c>
      <c r="M8" s="780">
        <f t="shared" si="4"/>
        <v>2.2607122982749025E-2</v>
      </c>
      <c r="N8" s="781">
        <f t="shared" si="5"/>
        <v>6.2743461324429609E-2</v>
      </c>
    </row>
    <row r="9" spans="1:24" s="77" customFormat="1" ht="15.75">
      <c r="A9" s="706" t="s">
        <v>581</v>
      </c>
      <c r="B9" s="679">
        <v>1182</v>
      </c>
      <c r="C9" s="679">
        <v>1127</v>
      </c>
      <c r="D9" s="679">
        <v>628</v>
      </c>
      <c r="E9" s="679">
        <v>24972</v>
      </c>
      <c r="F9" s="679">
        <v>777</v>
      </c>
      <c r="G9" s="679">
        <v>1645</v>
      </c>
      <c r="H9" s="779">
        <f t="shared" si="6"/>
        <v>30331</v>
      </c>
      <c r="I9" s="780">
        <f t="shared" si="0"/>
        <v>3.8970030661699254E-2</v>
      </c>
      <c r="J9" s="780">
        <f t="shared" si="1"/>
        <v>3.7156704361873988E-2</v>
      </c>
      <c r="K9" s="780">
        <f t="shared" si="2"/>
        <v>2.070488938709571E-2</v>
      </c>
      <c r="L9" s="780">
        <f t="shared" si="3"/>
        <v>0.82331607925884409</v>
      </c>
      <c r="M9" s="780">
        <f t="shared" si="4"/>
        <v>2.5617355181167784E-2</v>
      </c>
      <c r="N9" s="781">
        <f t="shared" si="5"/>
        <v>5.4234941149319177E-2</v>
      </c>
    </row>
    <row r="10" spans="1:24" s="77" customFormat="1" ht="15.75">
      <c r="A10" s="706" t="s">
        <v>969</v>
      </c>
      <c r="B10" s="679">
        <f>63+91+95+61+86+84</f>
        <v>480</v>
      </c>
      <c r="C10" s="679">
        <f>83+88+110+124+101+116</f>
        <v>622</v>
      </c>
      <c r="D10" s="679">
        <f>11+20+24+18+10+9</f>
        <v>92</v>
      </c>
      <c r="E10" s="679">
        <f>1734+2236+2561+2309+2489+2358</f>
        <v>13687</v>
      </c>
      <c r="F10" s="679">
        <f>41+67+74+55+56+67</f>
        <v>360</v>
      </c>
      <c r="G10" s="679">
        <f>16169-15241</f>
        <v>928</v>
      </c>
      <c r="H10" s="779">
        <f t="shared" si="6"/>
        <v>16169</v>
      </c>
      <c r="I10" s="780">
        <f t="shared" si="0"/>
        <v>2.968643700909147E-2</v>
      </c>
      <c r="J10" s="780">
        <f t="shared" si="1"/>
        <v>3.8468674624281031E-2</v>
      </c>
      <c r="K10" s="780">
        <f t="shared" si="2"/>
        <v>5.6899004267425323E-3</v>
      </c>
      <c r="L10" s="780">
        <f t="shared" si="3"/>
        <v>0.84649638196548949</v>
      </c>
      <c r="M10" s="780">
        <f t="shared" si="4"/>
        <v>2.2264827756818602E-2</v>
      </c>
      <c r="N10" s="781">
        <f t="shared" si="5"/>
        <v>5.7393778217576845E-2</v>
      </c>
    </row>
    <row r="11" spans="1:24" s="77" customFormat="1" ht="15.75">
      <c r="A11" s="699" t="s">
        <v>23</v>
      </c>
      <c r="B11" s="684">
        <f t="shared" ref="B11:H11" si="7">SUM(B4:B10)</f>
        <v>4629</v>
      </c>
      <c r="C11" s="684">
        <f t="shared" si="7"/>
        <v>5401</v>
      </c>
      <c r="D11" s="684">
        <f t="shared" si="7"/>
        <v>3221</v>
      </c>
      <c r="E11" s="684">
        <f t="shared" si="7"/>
        <v>127326</v>
      </c>
      <c r="F11" s="684">
        <f t="shared" si="7"/>
        <v>3955</v>
      </c>
      <c r="G11" s="684">
        <f t="shared" si="7"/>
        <v>9410</v>
      </c>
      <c r="H11" s="684">
        <f t="shared" si="7"/>
        <v>153942</v>
      </c>
      <c r="I11" s="685">
        <f t="shared" si="0"/>
        <v>3.0069766535448416E-2</v>
      </c>
      <c r="J11" s="685">
        <f t="shared" si="1"/>
        <v>3.5084642267867117E-2</v>
      </c>
      <c r="K11" s="685">
        <f t="shared" si="2"/>
        <v>2.0923464681503422E-2</v>
      </c>
      <c r="L11" s="685">
        <f t="shared" si="3"/>
        <v>0.82710371438593755</v>
      </c>
      <c r="M11" s="685">
        <f t="shared" si="4"/>
        <v>2.5691494199113953E-2</v>
      </c>
      <c r="N11" s="686">
        <f t="shared" si="5"/>
        <v>6.1126917930129532E-2</v>
      </c>
      <c r="O11" s="182"/>
      <c r="X11" s="182"/>
    </row>
    <row r="12" spans="1:24" s="77" customFormat="1">
      <c r="A12" s="789"/>
      <c r="B12" s="790"/>
      <c r="C12" s="790"/>
      <c r="D12" s="790"/>
      <c r="E12" s="790"/>
      <c r="F12" s="790"/>
      <c r="G12" s="790"/>
      <c r="H12" s="74"/>
      <c r="I12" s="74"/>
      <c r="J12" s="74"/>
      <c r="K12" s="74"/>
      <c r="L12" s="74"/>
      <c r="M12" s="74"/>
      <c r="N12" s="74"/>
      <c r="O12" s="165"/>
      <c r="X12" s="182"/>
    </row>
    <row r="13" spans="1:24" s="77" customFormat="1">
      <c r="A13" s="158"/>
      <c r="B13" s="149"/>
      <c r="C13" s="149"/>
      <c r="D13" s="149"/>
      <c r="E13" s="149"/>
      <c r="F13" s="149"/>
      <c r="G13" s="149"/>
      <c r="X13" s="182"/>
    </row>
    <row r="14" spans="1:24" s="77" customFormat="1">
      <c r="A14" s="158"/>
      <c r="B14" s="149"/>
      <c r="C14" s="149"/>
      <c r="D14" s="149"/>
      <c r="E14" s="149"/>
      <c r="F14" s="149"/>
      <c r="G14" s="149"/>
      <c r="X14" s="182"/>
    </row>
    <row r="15" spans="1:24" s="77" customFormat="1">
      <c r="A15" s="158"/>
      <c r="B15" s="149"/>
      <c r="C15" s="149"/>
      <c r="D15" s="149"/>
      <c r="E15" s="149"/>
      <c r="F15" s="149"/>
      <c r="G15" s="149"/>
      <c r="X15" s="182"/>
    </row>
    <row r="16" spans="1:24" s="77" customFormat="1">
      <c r="A16" s="159"/>
      <c r="X16" s="182"/>
    </row>
    <row r="17" spans="1:31" s="77" customFormat="1" ht="15.75">
      <c r="A17" s="159"/>
      <c r="X17" s="182"/>
      <c r="Y17" s="779"/>
      <c r="Z17" s="779"/>
      <c r="AA17" s="687"/>
      <c r="AB17" s="687"/>
      <c r="AC17" s="687"/>
      <c r="AD17" s="687"/>
    </row>
    <row r="18" spans="1:31" s="77" customFormat="1">
      <c r="A18" s="159"/>
    </row>
    <row r="19" spans="1:31" s="77" customFormat="1">
      <c r="A19" s="159"/>
    </row>
    <row r="20" spans="1:31" s="77" customFormat="1">
      <c r="A20" s="159"/>
    </row>
    <row r="21" spans="1:31" s="77" customFormat="1">
      <c r="A21" s="159"/>
      <c r="AC21" s="39"/>
      <c r="AD21" s="39"/>
      <c r="AE21" s="39"/>
    </row>
    <row r="22" spans="1:31" s="77" customFormat="1">
      <c r="A22" s="159"/>
    </row>
  </sheetData>
  <mergeCells count="1">
    <mergeCell ref="A1:N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N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J7" sqref="J7"/>
    </sheetView>
  </sheetViews>
  <sheetFormatPr baseColWidth="10" defaultColWidth="11.42578125" defaultRowHeight="15"/>
  <cols>
    <col min="1" max="1" width="33" style="39" customWidth="1"/>
    <col min="2" max="2" width="12" style="39" customWidth="1"/>
    <col min="3" max="3" width="12.5703125" style="39" customWidth="1"/>
    <col min="4" max="4" width="13.28515625" style="39" customWidth="1"/>
    <col min="5" max="7" width="14.42578125" style="39" customWidth="1"/>
    <col min="8" max="8" width="16.140625" style="39" customWidth="1"/>
    <col min="9" max="9" width="14.28515625" style="39" customWidth="1"/>
    <col min="10" max="10" width="18.85546875" style="39" customWidth="1"/>
    <col min="11" max="11" width="13.28515625" style="39" customWidth="1"/>
    <col min="12" max="13" width="11.42578125" style="39" customWidth="1"/>
    <col min="14" max="16384" width="11.42578125" style="39"/>
  </cols>
  <sheetData>
    <row r="1" spans="1:14" s="77" customFormat="1" ht="68.25" customHeight="1">
      <c r="A1" s="1988"/>
      <c r="B1" s="1988"/>
      <c r="C1" s="1988"/>
      <c r="D1" s="1988"/>
      <c r="E1" s="1988"/>
      <c r="F1" s="1988"/>
      <c r="G1" s="1988"/>
      <c r="H1" s="1988"/>
      <c r="I1" s="1988"/>
      <c r="J1" s="1988"/>
      <c r="K1" s="1988"/>
      <c r="L1" s="1988"/>
      <c r="M1" s="1988"/>
      <c r="N1" s="1988"/>
    </row>
    <row r="2" spans="1:14" s="77" customFormat="1" ht="8.25" customHeight="1">
      <c r="A2" s="1996"/>
      <c r="B2" s="1997"/>
      <c r="C2" s="1997"/>
      <c r="D2" s="1997"/>
      <c r="E2" s="1997"/>
      <c r="F2" s="1997"/>
      <c r="G2" s="1997"/>
      <c r="H2" s="1997"/>
      <c r="I2" s="1997"/>
      <c r="J2" s="1997"/>
      <c r="K2" s="1997"/>
      <c r="L2" s="1997"/>
      <c r="M2" s="1997"/>
      <c r="N2" s="1997"/>
    </row>
    <row r="3" spans="1:14" s="77" customFormat="1" ht="21" customHeight="1">
      <c r="A3" s="663" t="s">
        <v>392</v>
      </c>
      <c r="B3" s="668" t="s">
        <v>233</v>
      </c>
      <c r="C3" s="668" t="s">
        <v>196</v>
      </c>
      <c r="D3" s="668" t="s">
        <v>234</v>
      </c>
      <c r="E3" s="668" t="s">
        <v>485</v>
      </c>
      <c r="F3" s="668" t="s">
        <v>573</v>
      </c>
      <c r="G3" s="668" t="s">
        <v>581</v>
      </c>
      <c r="H3" s="668" t="s">
        <v>969</v>
      </c>
      <c r="I3" s="664" t="s">
        <v>143</v>
      </c>
      <c r="J3" s="669" t="s">
        <v>391</v>
      </c>
    </row>
    <row r="4" spans="1:14" s="77" customFormat="1" ht="15.75">
      <c r="A4" s="815" t="s">
        <v>394</v>
      </c>
      <c r="B4" s="667">
        <v>24</v>
      </c>
      <c r="C4" s="667">
        <v>18</v>
      </c>
      <c r="D4" s="667">
        <v>15</v>
      </c>
      <c r="E4" s="667">
        <v>17</v>
      </c>
      <c r="F4" s="667">
        <v>27</v>
      </c>
      <c r="G4" s="667">
        <v>17</v>
      </c>
      <c r="H4" s="667">
        <f>1+1+3+3</f>
        <v>8</v>
      </c>
      <c r="I4" s="1282">
        <f t="shared" ref="I4:I11" si="0">SUM(B4:H4)</f>
        <v>126</v>
      </c>
      <c r="J4" s="813">
        <f t="shared" ref="J4:J11" si="1">I4/$I$12</f>
        <v>8.184900806797365E-4</v>
      </c>
      <c r="K4" s="18"/>
      <c r="L4" s="165"/>
    </row>
    <row r="5" spans="1:14" s="77" customFormat="1" ht="15.75">
      <c r="A5" s="815" t="s">
        <v>399</v>
      </c>
      <c r="B5" s="667">
        <v>81</v>
      </c>
      <c r="C5" s="667">
        <v>107</v>
      </c>
      <c r="D5" s="667">
        <v>174</v>
      </c>
      <c r="E5" s="667">
        <v>203</v>
      </c>
      <c r="F5" s="667">
        <v>236</v>
      </c>
      <c r="G5" s="667">
        <v>274</v>
      </c>
      <c r="H5" s="667">
        <f>20+20+29+18+20+24</f>
        <v>131</v>
      </c>
      <c r="I5" s="1282">
        <f t="shared" si="0"/>
        <v>1206</v>
      </c>
      <c r="J5" s="813">
        <f t="shared" si="1"/>
        <v>7.8341193436489067E-3</v>
      </c>
      <c r="K5" s="18"/>
      <c r="L5" s="165"/>
    </row>
    <row r="6" spans="1:14" s="77" customFormat="1" ht="15.75">
      <c r="A6" s="815" t="s">
        <v>396</v>
      </c>
      <c r="B6" s="667">
        <v>542</v>
      </c>
      <c r="C6" s="667">
        <v>772</v>
      </c>
      <c r="D6" s="667">
        <v>743</v>
      </c>
      <c r="E6" s="667">
        <v>794</v>
      </c>
      <c r="F6" s="667">
        <v>879</v>
      </c>
      <c r="G6" s="667">
        <v>927</v>
      </c>
      <c r="H6" s="667">
        <f>55+82+75+63+70+67</f>
        <v>412</v>
      </c>
      <c r="I6" s="1282">
        <f t="shared" si="0"/>
        <v>5069</v>
      </c>
      <c r="J6" s="813">
        <f t="shared" si="1"/>
        <v>3.2927985864806227E-2</v>
      </c>
      <c r="K6" s="18"/>
      <c r="L6" s="165"/>
    </row>
    <row r="7" spans="1:14" s="77" customFormat="1" ht="15.75">
      <c r="A7" s="815" t="s">
        <v>397</v>
      </c>
      <c r="B7" s="667">
        <v>1851</v>
      </c>
      <c r="C7" s="667">
        <v>1583</v>
      </c>
      <c r="D7" s="667">
        <v>1961</v>
      </c>
      <c r="E7" s="667">
        <v>2379</v>
      </c>
      <c r="F7" s="667">
        <v>2516</v>
      </c>
      <c r="G7" s="667">
        <v>2625</v>
      </c>
      <c r="H7" s="667">
        <f>152+215+251+242+250+276</f>
        <v>1386</v>
      </c>
      <c r="I7" s="1282">
        <f t="shared" si="0"/>
        <v>14301</v>
      </c>
      <c r="J7" s="813">
        <f t="shared" si="1"/>
        <v>9.2898624157150098E-2</v>
      </c>
      <c r="K7" s="18"/>
      <c r="L7" s="165"/>
    </row>
    <row r="8" spans="1:14" s="77" customFormat="1" ht="15.75">
      <c r="A8" s="815" t="s">
        <v>393</v>
      </c>
      <c r="B8" s="667">
        <v>2275</v>
      </c>
      <c r="C8" s="667">
        <v>2675</v>
      </c>
      <c r="D8" s="667">
        <v>2605</v>
      </c>
      <c r="E8" s="667">
        <v>3392</v>
      </c>
      <c r="F8" s="667">
        <v>4101</v>
      </c>
      <c r="G8" s="667">
        <v>4185</v>
      </c>
      <c r="H8" s="667">
        <f>16169-13967</f>
        <v>2202</v>
      </c>
      <c r="I8" s="1282">
        <f t="shared" si="0"/>
        <v>21435</v>
      </c>
      <c r="J8" s="813">
        <f t="shared" si="1"/>
        <v>0.13924075301087421</v>
      </c>
      <c r="K8" s="18"/>
      <c r="L8" s="165"/>
    </row>
    <row r="9" spans="1:14" s="77" customFormat="1" ht="15.75">
      <c r="A9" s="815" t="s">
        <v>400</v>
      </c>
      <c r="B9" s="667">
        <v>2805</v>
      </c>
      <c r="C9" s="667">
        <v>3727</v>
      </c>
      <c r="D9" s="667">
        <v>4775</v>
      </c>
      <c r="E9" s="667">
        <v>5981</v>
      </c>
      <c r="F9" s="667">
        <v>6728</v>
      </c>
      <c r="G9" s="667">
        <v>7364</v>
      </c>
      <c r="H9" s="667">
        <f>519+702+798+696+787+805</f>
        <v>4307</v>
      </c>
      <c r="I9" s="1282">
        <f t="shared" si="0"/>
        <v>35687</v>
      </c>
      <c r="J9" s="813">
        <f t="shared" si="1"/>
        <v>0.23182107546998221</v>
      </c>
      <c r="K9" s="18"/>
      <c r="L9" s="165"/>
    </row>
    <row r="10" spans="1:14" s="77" customFormat="1" ht="15.75">
      <c r="A10" s="815" t="s">
        <v>398</v>
      </c>
      <c r="B10" s="667">
        <v>3659</v>
      </c>
      <c r="C10" s="667">
        <v>4591</v>
      </c>
      <c r="D10" s="667">
        <v>5297</v>
      </c>
      <c r="E10" s="667">
        <v>6168</v>
      </c>
      <c r="F10" s="667">
        <v>5944</v>
      </c>
      <c r="G10" s="667">
        <v>6041</v>
      </c>
      <c r="H10" s="667">
        <f>380+509+558+535+490+511</f>
        <v>2983</v>
      </c>
      <c r="I10" s="1282">
        <f t="shared" si="0"/>
        <v>34683</v>
      </c>
      <c r="J10" s="813">
        <f t="shared" si="1"/>
        <v>0.22529913863662937</v>
      </c>
      <c r="K10" s="18"/>
      <c r="L10" s="165"/>
    </row>
    <row r="11" spans="1:14" s="77" customFormat="1" ht="15.75">
      <c r="A11" s="815" t="s">
        <v>395</v>
      </c>
      <c r="B11" s="667">
        <v>3092</v>
      </c>
      <c r="C11" s="667">
        <v>3398</v>
      </c>
      <c r="D11" s="667">
        <v>5619</v>
      </c>
      <c r="E11" s="667">
        <v>7367</v>
      </c>
      <c r="F11" s="667">
        <v>8321</v>
      </c>
      <c r="G11" s="667">
        <v>8898</v>
      </c>
      <c r="H11" s="667">
        <f>652+753+917+790+869+759</f>
        <v>4740</v>
      </c>
      <c r="I11" s="1282">
        <f t="shared" si="0"/>
        <v>41435</v>
      </c>
      <c r="J11" s="813">
        <f t="shared" si="1"/>
        <v>0.26915981343622924</v>
      </c>
      <c r="L11" s="165"/>
    </row>
    <row r="12" spans="1:14" s="77" customFormat="1" ht="15.75">
      <c r="A12" s="664" t="s">
        <v>23</v>
      </c>
      <c r="B12" s="804">
        <f>SUM(B4:B11)</f>
        <v>14329</v>
      </c>
      <c r="C12" s="804">
        <f>SUM(C4:C11)</f>
        <v>16871</v>
      </c>
      <c r="D12" s="804">
        <f t="shared" ref="D12:I12" si="2">SUM(D4:D11)</f>
        <v>21189</v>
      </c>
      <c r="E12" s="804">
        <f t="shared" si="2"/>
        <v>26301</v>
      </c>
      <c r="F12" s="804">
        <f t="shared" si="2"/>
        <v>28752</v>
      </c>
      <c r="G12" s="804">
        <f t="shared" si="2"/>
        <v>30331</v>
      </c>
      <c r="H12" s="804">
        <f t="shared" si="2"/>
        <v>16169</v>
      </c>
      <c r="I12" s="1581">
        <f t="shared" si="2"/>
        <v>153942</v>
      </c>
      <c r="J12" s="814">
        <f>SUM(J4:J11)</f>
        <v>1</v>
      </c>
      <c r="K12" s="702"/>
    </row>
    <row r="13" spans="1:14" s="77" customFormat="1"/>
    <row r="14" spans="1:14" s="77" customFormat="1"/>
    <row r="15" spans="1:14" s="77" customFormat="1"/>
    <row r="16" spans="1:14" s="77" customFormat="1"/>
    <row r="17" s="77" customFormat="1"/>
    <row r="18" s="77" customFormat="1"/>
    <row r="19" s="77" customFormat="1"/>
    <row r="20" s="77" customFormat="1"/>
    <row r="21" s="77" customFormat="1"/>
    <row r="22" s="77" customFormat="1"/>
    <row r="23" s="77" customFormat="1"/>
  </sheetData>
  <sortState ref="A4:J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J11" sqref="J11"/>
    </sheetView>
  </sheetViews>
  <sheetFormatPr baseColWidth="10" defaultColWidth="11.42578125" defaultRowHeight="15"/>
  <cols>
    <col min="1" max="1" width="47.42578125" style="39" customWidth="1"/>
    <col min="2" max="2" width="15.7109375" style="39" customWidth="1"/>
    <col min="3" max="3" width="15.85546875" style="39" customWidth="1"/>
    <col min="4" max="4" width="15.28515625" style="39" customWidth="1"/>
    <col min="5" max="5" width="16.7109375" style="39" customWidth="1"/>
    <col min="6" max="6" width="15.140625" style="39" customWidth="1"/>
    <col min="7" max="7" width="15" style="39" customWidth="1"/>
    <col min="8" max="8" width="19" style="39" customWidth="1"/>
    <col min="9" max="9" width="14.28515625" style="39" customWidth="1"/>
    <col min="10" max="10" width="25" style="39" customWidth="1"/>
    <col min="11" max="11" width="16.7109375" style="39" customWidth="1"/>
    <col min="12" max="12" width="19.28515625" style="39" customWidth="1"/>
    <col min="13" max="13" width="13" style="39" customWidth="1"/>
    <col min="14" max="16384" width="11.42578125" style="39"/>
  </cols>
  <sheetData>
    <row r="1" spans="1:13" s="77" customFormat="1" ht="74.25" customHeight="1">
      <c r="A1" s="1882"/>
      <c r="B1" s="1882"/>
      <c r="C1" s="1882"/>
      <c r="D1" s="1882"/>
      <c r="E1" s="1882"/>
      <c r="F1" s="1882"/>
      <c r="G1" s="1882"/>
      <c r="H1" s="1882"/>
      <c r="I1" s="1882"/>
      <c r="J1" s="1882"/>
      <c r="K1" s="1882"/>
      <c r="L1" s="1882"/>
      <c r="M1" s="1882"/>
    </row>
    <row r="2" spans="1:13" s="77" customFormat="1" ht="21" customHeight="1">
      <c r="A2" s="141"/>
      <c r="B2" s="141"/>
      <c r="C2" s="141"/>
      <c r="D2" s="141"/>
      <c r="E2" s="141"/>
      <c r="F2" s="141"/>
      <c r="G2" s="141"/>
      <c r="H2" s="141"/>
      <c r="I2" s="141"/>
      <c r="J2" s="141"/>
      <c r="K2" s="141"/>
      <c r="L2" s="141"/>
      <c r="M2" s="141"/>
    </row>
    <row r="3" spans="1:13" s="1251" customFormat="1" ht="23.25" customHeight="1">
      <c r="A3" s="816" t="s">
        <v>409</v>
      </c>
      <c r="B3" s="1497" t="s">
        <v>233</v>
      </c>
      <c r="C3" s="1497" t="s">
        <v>196</v>
      </c>
      <c r="D3" s="1497" t="s">
        <v>234</v>
      </c>
      <c r="E3" s="1598" t="s">
        <v>485</v>
      </c>
      <c r="F3" s="1598" t="s">
        <v>573</v>
      </c>
      <c r="G3" s="1598" t="s">
        <v>581</v>
      </c>
      <c r="H3" s="1598" t="s">
        <v>969</v>
      </c>
      <c r="I3" s="1599" t="s">
        <v>143</v>
      </c>
      <c r="J3" s="1498" t="s">
        <v>391</v>
      </c>
    </row>
    <row r="4" spans="1:13" s="77" customFormat="1" ht="18.75">
      <c r="A4" s="818" t="s">
        <v>408</v>
      </c>
      <c r="B4" s="1338">
        <v>892</v>
      </c>
      <c r="C4" s="1338">
        <v>730</v>
      </c>
      <c r="D4" s="1338">
        <v>663</v>
      </c>
      <c r="E4" s="1338">
        <v>372</v>
      </c>
      <c r="F4" s="1338">
        <v>726</v>
      </c>
      <c r="G4" s="1338">
        <v>843</v>
      </c>
      <c r="H4" s="1338">
        <f>53+101+87+78+93+95</f>
        <v>507</v>
      </c>
      <c r="I4" s="1573">
        <f t="shared" ref="I4:I12" si="0">SUM(B4:H4)</f>
        <v>4733</v>
      </c>
      <c r="J4" s="1576">
        <f t="shared" ref="J4:J12" si="1">I4/$I$13</f>
        <v>3.074534564966026E-2</v>
      </c>
    </row>
    <row r="5" spans="1:13" s="77" customFormat="1" ht="18.75">
      <c r="A5" s="818" t="s">
        <v>407</v>
      </c>
      <c r="B5" s="1338">
        <v>6315</v>
      </c>
      <c r="C5" s="1338">
        <v>8043</v>
      </c>
      <c r="D5" s="1338">
        <v>9764</v>
      </c>
      <c r="E5" s="1338">
        <v>9145</v>
      </c>
      <c r="F5" s="1338">
        <v>11271</v>
      </c>
      <c r="G5" s="1338">
        <v>12179</v>
      </c>
      <c r="H5" s="1338">
        <f>752+1028+1184+1124+1132+1147</f>
        <v>6367</v>
      </c>
      <c r="I5" s="1573">
        <f t="shared" si="0"/>
        <v>63084</v>
      </c>
      <c r="J5" s="1576">
        <f t="shared" si="1"/>
        <v>0.40979070039365473</v>
      </c>
    </row>
    <row r="6" spans="1:13" s="77" customFormat="1" ht="18.75">
      <c r="A6" s="818" t="s">
        <v>406</v>
      </c>
      <c r="B6" s="1338">
        <v>110</v>
      </c>
      <c r="C6" s="1338">
        <v>78</v>
      </c>
      <c r="D6" s="1338">
        <v>95</v>
      </c>
      <c r="E6" s="1338">
        <v>60</v>
      </c>
      <c r="F6" s="1338">
        <v>69</v>
      </c>
      <c r="G6" s="1338">
        <v>70</v>
      </c>
      <c r="H6" s="1338">
        <f>10+4+5+6+8+9</f>
        <v>42</v>
      </c>
      <c r="I6" s="1573">
        <f t="shared" si="0"/>
        <v>524</v>
      </c>
      <c r="J6" s="1576">
        <f t="shared" si="1"/>
        <v>3.4038793831443013E-3</v>
      </c>
    </row>
    <row r="7" spans="1:13" s="77" customFormat="1" ht="18.75">
      <c r="A7" s="818" t="s">
        <v>405</v>
      </c>
      <c r="B7" s="1338">
        <v>475</v>
      </c>
      <c r="C7" s="1338">
        <v>516</v>
      </c>
      <c r="D7" s="1338">
        <v>610</v>
      </c>
      <c r="E7" s="1338">
        <v>550</v>
      </c>
      <c r="F7" s="1338">
        <v>810</v>
      </c>
      <c r="G7" s="1338">
        <v>1067</v>
      </c>
      <c r="H7" s="1338">
        <f>67+101+111+102+87+85</f>
        <v>553</v>
      </c>
      <c r="I7" s="1573">
        <f t="shared" si="0"/>
        <v>4581</v>
      </c>
      <c r="J7" s="1576">
        <f t="shared" si="1"/>
        <v>2.9757960790427564E-2</v>
      </c>
    </row>
    <row r="8" spans="1:13" s="77" customFormat="1" ht="18.75">
      <c r="A8" s="818" t="s">
        <v>404</v>
      </c>
      <c r="B8" s="1338">
        <v>491</v>
      </c>
      <c r="C8" s="1338">
        <v>567</v>
      </c>
      <c r="D8" s="1338">
        <v>791</v>
      </c>
      <c r="E8" s="1338">
        <v>588</v>
      </c>
      <c r="F8" s="1338">
        <v>968</v>
      </c>
      <c r="G8" s="1338">
        <v>1128</v>
      </c>
      <c r="H8" s="1338">
        <f>74+72+101+81+105+84</f>
        <v>517</v>
      </c>
      <c r="I8" s="1573">
        <f t="shared" si="0"/>
        <v>5050</v>
      </c>
      <c r="J8" s="1576">
        <f t="shared" si="1"/>
        <v>3.2804562757402136E-2</v>
      </c>
    </row>
    <row r="9" spans="1:13" s="77" customFormat="1" ht="18.75">
      <c r="A9" s="818" t="s">
        <v>403</v>
      </c>
      <c r="B9" s="1338">
        <v>134</v>
      </c>
      <c r="C9" s="1338">
        <v>151</v>
      </c>
      <c r="D9" s="1338">
        <v>163</v>
      </c>
      <c r="E9" s="1338">
        <v>103</v>
      </c>
      <c r="F9" s="1338">
        <v>180</v>
      </c>
      <c r="G9" s="1338">
        <v>228</v>
      </c>
      <c r="H9" s="1338">
        <f>16+19+18+21+22+21</f>
        <v>117</v>
      </c>
      <c r="I9" s="1573">
        <f t="shared" si="0"/>
        <v>1076</v>
      </c>
      <c r="J9" s="1576">
        <f t="shared" si="1"/>
        <v>6.9896454508840992E-3</v>
      </c>
    </row>
    <row r="10" spans="1:13" s="77" customFormat="1" ht="18.75">
      <c r="A10" s="818" t="s">
        <v>402</v>
      </c>
      <c r="B10" s="1338">
        <v>1093</v>
      </c>
      <c r="C10" s="1338">
        <v>1015</v>
      </c>
      <c r="D10" s="1338">
        <v>1167</v>
      </c>
      <c r="E10" s="1338">
        <v>1027</v>
      </c>
      <c r="F10" s="1338">
        <v>1628</v>
      </c>
      <c r="G10" s="1338">
        <v>1662</v>
      </c>
      <c r="H10" s="1338">
        <f>120+176+171+153+159+194</f>
        <v>973</v>
      </c>
      <c r="I10" s="1573">
        <f t="shared" si="0"/>
        <v>8565</v>
      </c>
      <c r="J10" s="1576">
        <f t="shared" si="1"/>
        <v>5.5637837627158279E-2</v>
      </c>
    </row>
    <row r="11" spans="1:13" s="77" customFormat="1" ht="18.75">
      <c r="A11" s="818" t="s">
        <v>401</v>
      </c>
      <c r="B11" s="1338">
        <v>3053</v>
      </c>
      <c r="C11" s="1338">
        <v>3558</v>
      </c>
      <c r="D11" s="1338">
        <v>6057</v>
      </c>
      <c r="E11" s="1338">
        <v>5508</v>
      </c>
      <c r="F11" s="1338">
        <v>8078</v>
      </c>
      <c r="G11" s="1338">
        <v>9780</v>
      </c>
      <c r="H11" s="1338">
        <f>702+861+1018+844+940+859</f>
        <v>5224</v>
      </c>
      <c r="I11" s="1573">
        <f t="shared" si="0"/>
        <v>41258</v>
      </c>
      <c r="J11" s="1576">
        <f t="shared" si="1"/>
        <v>0.26801002975146482</v>
      </c>
    </row>
    <row r="12" spans="1:13" s="77" customFormat="1" ht="18.75">
      <c r="A12" s="818" t="s">
        <v>149</v>
      </c>
      <c r="B12" s="1338">
        <v>1766</v>
      </c>
      <c r="C12" s="1338">
        <v>2213</v>
      </c>
      <c r="D12" s="1338">
        <v>1879</v>
      </c>
      <c r="E12" s="1338">
        <f>26301-17353</f>
        <v>8948</v>
      </c>
      <c r="F12" s="1338">
        <f>28752-23730</f>
        <v>5022</v>
      </c>
      <c r="G12" s="1338">
        <f>30331-26957</f>
        <v>3374</v>
      </c>
      <c r="H12" s="1338">
        <f>16169-14300</f>
        <v>1869</v>
      </c>
      <c r="I12" s="1573">
        <f t="shared" si="0"/>
        <v>25071</v>
      </c>
      <c r="J12" s="1576">
        <f t="shared" si="1"/>
        <v>0.16286003819620376</v>
      </c>
    </row>
    <row r="13" spans="1:13" s="77" customFormat="1" ht="18.75">
      <c r="A13" s="817" t="s">
        <v>23</v>
      </c>
      <c r="B13" s="684">
        <f t="shared" ref="B13:J13" si="2">SUM(B4:B12)</f>
        <v>14329</v>
      </c>
      <c r="C13" s="684">
        <f t="shared" si="2"/>
        <v>16871</v>
      </c>
      <c r="D13" s="684">
        <f t="shared" si="2"/>
        <v>21189</v>
      </c>
      <c r="E13" s="684">
        <f t="shared" si="2"/>
        <v>26301</v>
      </c>
      <c r="F13" s="684">
        <f t="shared" si="2"/>
        <v>28752</v>
      </c>
      <c r="G13" s="684">
        <f t="shared" si="2"/>
        <v>30331</v>
      </c>
      <c r="H13" s="684">
        <f t="shared" si="2"/>
        <v>16169</v>
      </c>
      <c r="I13" s="1574">
        <f t="shared" si="2"/>
        <v>153942</v>
      </c>
      <c r="J13" s="1578">
        <f t="shared" si="2"/>
        <v>0.99999999999999989</v>
      </c>
    </row>
    <row r="14" spans="1:13" s="77" customFormat="1" ht="15.75">
      <c r="I14" s="680"/>
    </row>
    <row r="15" spans="1:13" s="77" customFormat="1"/>
    <row r="16" spans="1:13" s="77" customFormat="1"/>
    <row r="17" s="77" customFormat="1"/>
    <row r="18" s="77" customFormat="1"/>
    <row r="19" s="77" customFormat="1"/>
    <row r="20" s="77" customFormat="1"/>
    <row r="21" s="77" customFormat="1"/>
    <row r="22" s="77" customFormat="1"/>
    <row r="23" s="77" customFormat="1"/>
  </sheetData>
  <mergeCells count="1">
    <mergeCell ref="A1:M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P22"/>
  <sheetViews>
    <sheetView showGridLines="0" view="pageBreakPreview" zoomScale="85" zoomScaleNormal="100" zoomScaleSheetLayoutView="85" workbookViewId="0">
      <selection activeCell="H8" sqref="H8"/>
    </sheetView>
  </sheetViews>
  <sheetFormatPr baseColWidth="10" defaultColWidth="11.42578125" defaultRowHeight="15"/>
  <cols>
    <col min="1" max="1" width="15.28515625" style="39" customWidth="1"/>
    <col min="2" max="3" width="16.140625" style="39" customWidth="1"/>
    <col min="4" max="4" width="12.28515625" style="39" customWidth="1"/>
    <col min="5" max="5" width="14.140625" style="39" customWidth="1"/>
    <col min="6" max="7" width="12.28515625" style="39" customWidth="1"/>
    <col min="8" max="8" width="15.7109375" style="39" customWidth="1"/>
    <col min="9" max="9" width="14.42578125" style="39" customWidth="1"/>
    <col min="10" max="10" width="11.140625" style="39" customWidth="1"/>
    <col min="11" max="13" width="13.28515625" style="39" customWidth="1"/>
    <col min="14" max="14" width="13.7109375" style="39" customWidth="1"/>
    <col min="15" max="16" width="11.7109375" style="39" customWidth="1"/>
    <col min="17" max="16384" width="11.42578125" style="39"/>
  </cols>
  <sheetData>
    <row r="1" spans="1:16" s="77" customFormat="1" ht="75" customHeight="1">
      <c r="A1" s="1873"/>
      <c r="B1" s="1873"/>
      <c r="C1" s="1873"/>
      <c r="D1" s="1873"/>
      <c r="E1" s="1873"/>
      <c r="F1" s="1873"/>
      <c r="G1" s="1873"/>
      <c r="H1" s="1873"/>
      <c r="I1" s="1873"/>
      <c r="J1" s="1873"/>
      <c r="K1" s="1873"/>
      <c r="L1" s="1873"/>
      <c r="M1" s="1873"/>
      <c r="N1" s="1873"/>
      <c r="O1" s="1873"/>
      <c r="P1" s="151"/>
    </row>
    <row r="2" spans="1:16" ht="3.75" customHeight="1">
      <c r="A2" s="186"/>
      <c r="B2" s="186"/>
      <c r="C2" s="1342"/>
      <c r="D2" s="186"/>
      <c r="E2" s="186"/>
      <c r="F2" s="186"/>
      <c r="G2" s="186"/>
      <c r="H2" s="186"/>
      <c r="I2" s="186"/>
      <c r="J2" s="186"/>
      <c r="K2" s="186"/>
      <c r="L2" s="186"/>
      <c r="M2" s="186"/>
      <c r="N2" s="186"/>
      <c r="O2" s="186"/>
      <c r="P2" s="187"/>
    </row>
    <row r="3" spans="1:16" s="77" customFormat="1" ht="31.5">
      <c r="A3" s="785" t="s">
        <v>0</v>
      </c>
      <c r="B3" s="791" t="s">
        <v>421</v>
      </c>
      <c r="C3" s="791" t="s">
        <v>916</v>
      </c>
      <c r="D3" s="682" t="s">
        <v>44</v>
      </c>
    </row>
    <row r="4" spans="1:16" s="77" customFormat="1" ht="15.75">
      <c r="A4" s="793" t="s">
        <v>233</v>
      </c>
      <c r="B4" s="679">
        <v>10456</v>
      </c>
      <c r="C4" s="679">
        <v>14329</v>
      </c>
      <c r="D4" s="781">
        <f>+B4/C4</f>
        <v>0.72970898178519084</v>
      </c>
    </row>
    <row r="5" spans="1:16" s="77" customFormat="1" ht="15.75">
      <c r="A5" s="683" t="s">
        <v>196</v>
      </c>
      <c r="B5" s="679">
        <v>13140</v>
      </c>
      <c r="C5" s="679">
        <v>16871</v>
      </c>
      <c r="D5" s="781">
        <f t="shared" ref="D5:D9" si="0">+B5/C5</f>
        <v>0.77885128326714481</v>
      </c>
    </row>
    <row r="6" spans="1:16" s="77" customFormat="1" ht="15.75">
      <c r="A6" s="683" t="s">
        <v>234</v>
      </c>
      <c r="B6" s="679">
        <v>17313</v>
      </c>
      <c r="C6" s="679">
        <v>21189</v>
      </c>
      <c r="D6" s="781">
        <f t="shared" si="0"/>
        <v>0.8170748973523998</v>
      </c>
      <c r="G6" s="963"/>
    </row>
    <row r="7" spans="1:16" s="77" customFormat="1" ht="15.75">
      <c r="A7" s="683" t="s">
        <v>485</v>
      </c>
      <c r="B7" s="679">
        <v>20883</v>
      </c>
      <c r="C7" s="679">
        <v>26301</v>
      </c>
      <c r="D7" s="781">
        <f t="shared" si="0"/>
        <v>0.79400022812820803</v>
      </c>
    </row>
    <row r="8" spans="1:16" s="77" customFormat="1" ht="15.75">
      <c r="A8" s="683" t="s">
        <v>573</v>
      </c>
      <c r="B8" s="679">
        <v>22389</v>
      </c>
      <c r="C8" s="679">
        <v>28752</v>
      </c>
      <c r="D8" s="781">
        <f t="shared" si="0"/>
        <v>0.77869365609348917</v>
      </c>
      <c r="F8" s="165"/>
      <c r="G8" s="679"/>
      <c r="H8" s="679"/>
    </row>
    <row r="9" spans="1:16" s="77" customFormat="1" ht="15.75">
      <c r="A9" s="683" t="s">
        <v>581</v>
      </c>
      <c r="B9" s="679">
        <v>25583</v>
      </c>
      <c r="C9" s="679">
        <v>30331</v>
      </c>
      <c r="D9" s="781">
        <f t="shared" si="0"/>
        <v>0.8434604859714484</v>
      </c>
      <c r="G9" s="679"/>
      <c r="H9" s="679"/>
    </row>
    <row r="10" spans="1:16" s="77" customFormat="1" ht="15.75">
      <c r="A10" s="792" t="s">
        <v>968</v>
      </c>
      <c r="B10" s="679">
        <f>2014+2266+2518+2401+2458+2270</f>
        <v>13927</v>
      </c>
      <c r="C10" s="679">
        <f>+'V.4.19. EC. x  lugar de accid.'!H13</f>
        <v>16169</v>
      </c>
      <c r="D10" s="781">
        <f>+B10/C10</f>
        <v>0.86133960047003522</v>
      </c>
      <c r="G10" s="679"/>
      <c r="H10" s="679"/>
    </row>
    <row r="11" spans="1:16" s="77" customFormat="1" ht="15.75">
      <c r="A11" s="678" t="s">
        <v>23</v>
      </c>
      <c r="B11" s="684">
        <f>SUM(B4:B10)</f>
        <v>123691</v>
      </c>
      <c r="C11" s="684">
        <f>SUM(C4:C10)</f>
        <v>153942</v>
      </c>
      <c r="D11" s="1400">
        <f>AVERAGE(D4:D10)</f>
        <v>0.80044701900970239</v>
      </c>
      <c r="G11" s="679"/>
      <c r="H11" s="679"/>
    </row>
    <row r="12" spans="1:16" s="77" customFormat="1" ht="15.75">
      <c r="A12" s="150"/>
      <c r="B12" s="149"/>
      <c r="C12" s="149"/>
      <c r="D12" s="149"/>
      <c r="E12" s="149"/>
      <c r="F12" s="149"/>
      <c r="G12" s="679"/>
      <c r="H12" s="679"/>
    </row>
    <row r="13" spans="1:16" s="77" customFormat="1" ht="15.75">
      <c r="A13" s="150"/>
      <c r="B13" s="149"/>
      <c r="C13" s="149"/>
      <c r="D13" s="149"/>
      <c r="E13" s="149"/>
      <c r="F13" s="149"/>
      <c r="G13" s="679"/>
      <c r="H13" s="679"/>
    </row>
    <row r="14" spans="1:16" s="77" customFormat="1" ht="15.75">
      <c r="A14" s="150"/>
      <c r="B14" s="149"/>
      <c r="C14" s="149"/>
      <c r="D14" s="149"/>
      <c r="E14" s="149"/>
      <c r="F14" s="149"/>
      <c r="G14" s="679"/>
      <c r="H14" s="679"/>
    </row>
    <row r="15" spans="1:16" s="77" customFormat="1">
      <c r="A15" s="150"/>
      <c r="B15" s="149"/>
      <c r="C15" s="149"/>
      <c r="D15" s="149"/>
      <c r="E15" s="149"/>
      <c r="F15" s="149"/>
      <c r="G15" s="149"/>
      <c r="H15" s="149"/>
    </row>
    <row r="16" spans="1:16" s="77" customFormat="1"/>
    <row r="17" s="77" customFormat="1"/>
    <row r="18" s="77" customFormat="1"/>
    <row r="19" s="77" customFormat="1"/>
    <row r="20" s="77" customFormat="1"/>
    <row r="21" s="77" customFormat="1"/>
    <row r="22" s="77" customFormat="1"/>
  </sheetData>
  <mergeCells count="1">
    <mergeCell ref="A1:O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4"/>
  <sheetViews>
    <sheetView showGridLines="0" view="pageBreakPreview" zoomScale="70" zoomScaleNormal="100" zoomScaleSheetLayoutView="70" workbookViewId="0">
      <selection activeCell="I10" sqref="I10"/>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39" customWidth="1"/>
    <col min="5" max="5" width="20.7109375" style="39" customWidth="1"/>
    <col min="6" max="6" width="19.4257812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7" customFormat="1" ht="75.75" customHeight="1">
      <c r="A1" s="1988"/>
      <c r="B1" s="1988"/>
      <c r="C1" s="1988"/>
      <c r="D1" s="1988"/>
      <c r="E1" s="1988"/>
      <c r="F1" s="1988"/>
      <c r="G1" s="1988"/>
      <c r="H1" s="1988"/>
      <c r="I1" s="1988"/>
      <c r="J1" s="1988"/>
      <c r="K1" s="1988"/>
      <c r="L1" s="1988"/>
      <c r="M1" s="151"/>
    </row>
    <row r="2" spans="1:13" ht="3.75" customHeight="1">
      <c r="A2" s="1998"/>
      <c r="B2" s="1998"/>
      <c r="C2" s="1998"/>
      <c r="D2" s="1998"/>
      <c r="E2" s="1998"/>
      <c r="F2" s="1998"/>
      <c r="G2" s="1998"/>
      <c r="H2" s="1998"/>
      <c r="I2" s="1998"/>
      <c r="J2" s="1998"/>
      <c r="K2" s="1998"/>
      <c r="L2" s="1998"/>
      <c r="M2" s="187"/>
    </row>
    <row r="3" spans="1:13" s="77" customFormat="1" ht="21.75" customHeight="1">
      <c r="A3" s="1496" t="s">
        <v>0</v>
      </c>
      <c r="B3" s="1497" t="s">
        <v>367</v>
      </c>
      <c r="C3" s="1497" t="s">
        <v>366</v>
      </c>
      <c r="D3" s="1497" t="s">
        <v>143</v>
      </c>
      <c r="E3" s="1497" t="s">
        <v>412</v>
      </c>
      <c r="F3" s="1498" t="s">
        <v>411</v>
      </c>
    </row>
    <row r="4" spans="1:13" s="77" customFormat="1" ht="18.75">
      <c r="A4" s="389" t="s">
        <v>233</v>
      </c>
      <c r="B4" s="1499">
        <v>53</v>
      </c>
      <c r="C4" s="1500">
        <v>45</v>
      </c>
      <c r="D4" s="1501">
        <f t="shared" ref="D4:D10" si="0">SUM(B4:C4)</f>
        <v>98</v>
      </c>
      <c r="E4" s="1502">
        <f t="shared" ref="E4:E11" si="1">B4/D4</f>
        <v>0.54081632653061229</v>
      </c>
      <c r="F4" s="1503">
        <f t="shared" ref="F4:F11" si="2">C4/D4</f>
        <v>0.45918367346938777</v>
      </c>
      <c r="G4" s="18"/>
    </row>
    <row r="5" spans="1:13" s="77" customFormat="1" ht="18.75">
      <c r="A5" s="389" t="s">
        <v>196</v>
      </c>
      <c r="B5" s="1499">
        <v>95</v>
      </c>
      <c r="C5" s="1500">
        <v>153</v>
      </c>
      <c r="D5" s="1501">
        <f t="shared" si="0"/>
        <v>248</v>
      </c>
      <c r="E5" s="1502">
        <f t="shared" si="1"/>
        <v>0.38306451612903225</v>
      </c>
      <c r="F5" s="1503">
        <f t="shared" si="2"/>
        <v>0.61693548387096775</v>
      </c>
      <c r="G5" s="18"/>
      <c r="M5" s="39"/>
    </row>
    <row r="6" spans="1:13" s="77" customFormat="1" ht="18.75">
      <c r="A6" s="389" t="s">
        <v>234</v>
      </c>
      <c r="B6" s="1499">
        <v>226</v>
      </c>
      <c r="C6" s="1500">
        <v>169</v>
      </c>
      <c r="D6" s="1501">
        <f t="shared" si="0"/>
        <v>395</v>
      </c>
      <c r="E6" s="1502">
        <f t="shared" si="1"/>
        <v>0.57215189873417727</v>
      </c>
      <c r="F6" s="1503">
        <f t="shared" si="2"/>
        <v>0.42784810126582279</v>
      </c>
      <c r="G6" s="18"/>
      <c r="M6" s="39"/>
    </row>
    <row r="7" spans="1:13" s="77" customFormat="1" ht="18.75">
      <c r="A7" s="389" t="s">
        <v>485</v>
      </c>
      <c r="B7" s="1499">
        <v>191</v>
      </c>
      <c r="C7" s="1500">
        <v>251</v>
      </c>
      <c r="D7" s="1501">
        <f t="shared" si="0"/>
        <v>442</v>
      </c>
      <c r="E7" s="1502">
        <f t="shared" si="1"/>
        <v>0.4321266968325792</v>
      </c>
      <c r="F7" s="1503">
        <f t="shared" si="2"/>
        <v>0.5678733031674208</v>
      </c>
      <c r="G7" s="18"/>
      <c r="M7" s="39"/>
    </row>
    <row r="8" spans="1:13" s="77" customFormat="1" ht="18.75">
      <c r="A8" s="389" t="s">
        <v>573</v>
      </c>
      <c r="B8" s="1499">
        <v>118</v>
      </c>
      <c r="C8" s="1500">
        <v>384</v>
      </c>
      <c r="D8" s="1501">
        <f t="shared" si="0"/>
        <v>502</v>
      </c>
      <c r="E8" s="1502">
        <f>B8/D8</f>
        <v>0.23505976095617531</v>
      </c>
      <c r="F8" s="1503">
        <f>C8/D8</f>
        <v>0.76494023904382469</v>
      </c>
      <c r="G8" s="18"/>
      <c r="M8" s="39"/>
    </row>
    <row r="9" spans="1:13" s="77" customFormat="1" ht="18.75">
      <c r="A9" s="389" t="s">
        <v>581</v>
      </c>
      <c r="B9" s="1499">
        <v>122</v>
      </c>
      <c r="C9" s="1500">
        <v>300</v>
      </c>
      <c r="D9" s="1501">
        <f t="shared" si="0"/>
        <v>422</v>
      </c>
      <c r="E9" s="1502">
        <f>B9/D9</f>
        <v>0.2890995260663507</v>
      </c>
      <c r="F9" s="1503">
        <f>C9/D9</f>
        <v>0.7109004739336493</v>
      </c>
      <c r="G9" s="18"/>
      <c r="M9" s="39"/>
    </row>
    <row r="10" spans="1:13" s="77" customFormat="1" ht="18.75">
      <c r="A10" s="389" t="s">
        <v>970</v>
      </c>
      <c r="B10" s="1499">
        <f>8+8+10+4+9+10</f>
        <v>49</v>
      </c>
      <c r="C10" s="1500">
        <f>18+18+24+14+18+25</f>
        <v>117</v>
      </c>
      <c r="D10" s="1501">
        <f t="shared" si="0"/>
        <v>166</v>
      </c>
      <c r="E10" s="1502">
        <f>B10/D10</f>
        <v>0.29518072289156627</v>
      </c>
      <c r="F10" s="1503">
        <f>C10/D10</f>
        <v>0.70481927710843373</v>
      </c>
      <c r="G10" s="18"/>
      <c r="M10" s="39"/>
    </row>
    <row r="11" spans="1:13" s="77" customFormat="1" ht="18.75">
      <c r="A11" s="817" t="s">
        <v>23</v>
      </c>
      <c r="B11" s="1600">
        <f>SUM(B4:B10)</f>
        <v>854</v>
      </c>
      <c r="C11" s="1600">
        <f>SUM(C4:C10)</f>
        <v>1419</v>
      </c>
      <c r="D11" s="1600">
        <f>SUM(D4:D10)</f>
        <v>2273</v>
      </c>
      <c r="E11" s="1601">
        <f t="shared" si="1"/>
        <v>0.37571491421029474</v>
      </c>
      <c r="F11" s="1504">
        <f t="shared" si="2"/>
        <v>0.62428508578970521</v>
      </c>
      <c r="G11" s="18"/>
      <c r="M11" s="39"/>
    </row>
    <row r="12" spans="1:13" s="77" customFormat="1">
      <c r="A12" s="150"/>
      <c r="B12" s="149"/>
      <c r="C12" s="149"/>
      <c r="M12" s="39"/>
    </row>
    <row r="13" spans="1:13" s="77" customFormat="1">
      <c r="A13" s="150"/>
      <c r="B13" s="149"/>
      <c r="C13" s="149"/>
      <c r="L13" s="39"/>
      <c r="M13" s="39"/>
    </row>
    <row r="14" spans="1:13" s="77" customFormat="1">
      <c r="A14" s="150"/>
      <c r="B14" s="149"/>
      <c r="C14" s="149"/>
      <c r="L14" s="39"/>
      <c r="M14" s="39"/>
    </row>
    <row r="15" spans="1:13" s="77" customFormat="1">
      <c r="A15" s="150"/>
      <c r="B15" s="149"/>
      <c r="C15" s="149"/>
    </row>
    <row r="16" spans="1:13" s="77" customFormat="1"/>
    <row r="17" spans="12:12" s="77" customFormat="1"/>
    <row r="18" spans="12:12" s="77" customFormat="1"/>
    <row r="19" spans="12:12" s="77" customFormat="1"/>
    <row r="20" spans="12:12" s="77" customFormat="1"/>
    <row r="21" spans="12:12" s="77" customFormat="1"/>
    <row r="22" spans="12:12" s="77" customFormat="1"/>
    <row r="24" spans="12:12">
      <c r="L24" s="148"/>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4"/>
  <sheetViews>
    <sheetView showGridLines="0" view="pageBreakPreview" zoomScale="85" zoomScaleNormal="100" zoomScaleSheetLayoutView="85" workbookViewId="0">
      <selection activeCell="D10" sqref="D10"/>
    </sheetView>
  </sheetViews>
  <sheetFormatPr baseColWidth="10" defaultColWidth="11.42578125" defaultRowHeight="15"/>
  <cols>
    <col min="1" max="1" width="16" style="39" customWidth="1"/>
    <col min="2" max="3" width="12.28515625" style="39" customWidth="1"/>
    <col min="4" max="4" width="14.42578125" style="39" customWidth="1"/>
    <col min="5" max="5" width="16.5703125" style="39" customWidth="1"/>
    <col min="6" max="6" width="17.1406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1.42578125" style="39" customWidth="1"/>
    <col min="14" max="16384" width="11.42578125" style="39"/>
  </cols>
  <sheetData>
    <row r="1" spans="1:13" s="77" customFormat="1" ht="66" customHeight="1">
      <c r="A1" s="1999"/>
      <c r="B1" s="1999"/>
      <c r="C1" s="1999"/>
      <c r="D1" s="1999"/>
      <c r="E1" s="1999"/>
      <c r="F1" s="1999"/>
      <c r="G1" s="1999"/>
      <c r="H1" s="1999"/>
      <c r="I1" s="1999"/>
      <c r="J1" s="1999"/>
      <c r="K1" s="1999"/>
      <c r="L1" s="1999"/>
      <c r="M1" s="151"/>
    </row>
    <row r="2" spans="1:13" ht="8.25" customHeight="1">
      <c r="A2" s="203"/>
      <c r="B2" s="203"/>
      <c r="C2" s="203"/>
      <c r="D2" s="203"/>
      <c r="E2" s="203"/>
      <c r="F2" s="203"/>
      <c r="G2" s="203"/>
      <c r="H2" s="203"/>
      <c r="I2" s="203"/>
      <c r="J2" s="203"/>
      <c r="K2" s="203"/>
      <c r="L2" s="203"/>
      <c r="M2" s="187"/>
    </row>
    <row r="3" spans="1:13" s="77" customFormat="1" ht="21.75" customHeight="1">
      <c r="A3" s="795" t="s">
        <v>0</v>
      </c>
      <c r="B3" s="754" t="s">
        <v>367</v>
      </c>
      <c r="C3" s="754" t="s">
        <v>366</v>
      </c>
      <c r="D3" s="754" t="s">
        <v>143</v>
      </c>
      <c r="E3" s="754" t="s">
        <v>412</v>
      </c>
      <c r="F3" s="755" t="s">
        <v>411</v>
      </c>
    </row>
    <row r="4" spans="1:13" s="77" customFormat="1" ht="15.75">
      <c r="A4" s="774" t="s">
        <v>233</v>
      </c>
      <c r="B4" s="796">
        <v>65</v>
      </c>
      <c r="C4" s="711">
        <v>86</v>
      </c>
      <c r="D4" s="797">
        <f t="shared" ref="D4:D10" si="0">SUM(B4:C4)</f>
        <v>151</v>
      </c>
      <c r="E4" s="770">
        <f>B5/D4</f>
        <v>0.58940397350993379</v>
      </c>
      <c r="F4" s="771">
        <f>C5/D4</f>
        <v>0.37748344370860926</v>
      </c>
      <c r="G4" s="18"/>
    </row>
    <row r="5" spans="1:13" s="77" customFormat="1" ht="15.75">
      <c r="A5" s="774" t="s">
        <v>196</v>
      </c>
      <c r="B5" s="796">
        <v>89</v>
      </c>
      <c r="C5" s="711">
        <v>57</v>
      </c>
      <c r="D5" s="797">
        <f t="shared" si="0"/>
        <v>146</v>
      </c>
      <c r="E5" s="770">
        <f t="shared" ref="E5:E11" si="1">B5/D5</f>
        <v>0.6095890410958904</v>
      </c>
      <c r="F5" s="771">
        <f t="shared" ref="F5:F11" si="2">C5/D5</f>
        <v>0.3904109589041096</v>
      </c>
      <c r="G5" s="18"/>
      <c r="M5" s="39"/>
    </row>
    <row r="6" spans="1:13" s="77" customFormat="1" ht="15.75">
      <c r="A6" s="774" t="s">
        <v>234</v>
      </c>
      <c r="B6" s="796">
        <v>86</v>
      </c>
      <c r="C6" s="711">
        <v>86</v>
      </c>
      <c r="D6" s="797">
        <f t="shared" si="0"/>
        <v>172</v>
      </c>
      <c r="E6" s="770">
        <f t="shared" si="1"/>
        <v>0.5</v>
      </c>
      <c r="F6" s="771">
        <f t="shared" si="2"/>
        <v>0.5</v>
      </c>
      <c r="G6" s="18"/>
      <c r="M6" s="39"/>
    </row>
    <row r="7" spans="1:13" s="77" customFormat="1" ht="15.75">
      <c r="A7" s="763" t="s">
        <v>485</v>
      </c>
      <c r="B7" s="796">
        <v>45</v>
      </c>
      <c r="C7" s="711">
        <v>77</v>
      </c>
      <c r="D7" s="797">
        <f t="shared" si="0"/>
        <v>122</v>
      </c>
      <c r="E7" s="770">
        <f t="shared" si="1"/>
        <v>0.36885245901639346</v>
      </c>
      <c r="F7" s="771">
        <f t="shared" si="2"/>
        <v>0.63114754098360659</v>
      </c>
      <c r="G7" s="18"/>
      <c r="M7" s="39"/>
    </row>
    <row r="8" spans="1:13" s="77" customFormat="1" ht="15.75">
      <c r="A8" s="763" t="s">
        <v>573</v>
      </c>
      <c r="B8" s="796">
        <v>79</v>
      </c>
      <c r="C8" s="711">
        <v>133</v>
      </c>
      <c r="D8" s="797">
        <f t="shared" si="0"/>
        <v>212</v>
      </c>
      <c r="E8" s="770">
        <f t="shared" si="1"/>
        <v>0.37264150943396224</v>
      </c>
      <c r="F8" s="771">
        <f t="shared" si="2"/>
        <v>0.62735849056603776</v>
      </c>
      <c r="G8" s="18"/>
      <c r="M8" s="39"/>
    </row>
    <row r="9" spans="1:13" s="77" customFormat="1" ht="15.75">
      <c r="A9" s="763" t="s">
        <v>581</v>
      </c>
      <c r="B9" s="796">
        <v>66</v>
      </c>
      <c r="C9" s="711">
        <v>115</v>
      </c>
      <c r="D9" s="797">
        <f t="shared" si="0"/>
        <v>181</v>
      </c>
      <c r="E9" s="770">
        <f t="shared" si="1"/>
        <v>0.36464088397790057</v>
      </c>
      <c r="F9" s="771">
        <f t="shared" si="2"/>
        <v>0.63535911602209949</v>
      </c>
      <c r="G9" s="18"/>
      <c r="M9" s="39"/>
    </row>
    <row r="10" spans="1:13" s="77" customFormat="1" ht="15.75">
      <c r="A10" s="802" t="s">
        <v>969</v>
      </c>
      <c r="B10" s="796">
        <f>4+7+7+8+5+8</f>
        <v>39</v>
      </c>
      <c r="C10" s="711">
        <f>7+11+19+30+18+14</f>
        <v>99</v>
      </c>
      <c r="D10" s="797">
        <f t="shared" si="0"/>
        <v>138</v>
      </c>
      <c r="E10" s="770">
        <f t="shared" si="1"/>
        <v>0.28260869565217389</v>
      </c>
      <c r="F10" s="771">
        <f t="shared" si="2"/>
        <v>0.71739130434782605</v>
      </c>
      <c r="G10" s="18"/>
      <c r="M10" s="39"/>
    </row>
    <row r="11" spans="1:13" s="77" customFormat="1" ht="15.75">
      <c r="A11" s="798" t="s">
        <v>23</v>
      </c>
      <c r="B11" s="799">
        <f>SUM(B4:B10)</f>
        <v>469</v>
      </c>
      <c r="C11" s="799">
        <f>SUM(C4:C10)</f>
        <v>653</v>
      </c>
      <c r="D11" s="799">
        <f>SUM(D4:D10)</f>
        <v>1122</v>
      </c>
      <c r="E11" s="800">
        <f t="shared" si="1"/>
        <v>0.41800356506238862</v>
      </c>
      <c r="F11" s="801">
        <f t="shared" si="2"/>
        <v>0.58199643493761144</v>
      </c>
      <c r="G11" s="18"/>
      <c r="M11" s="39"/>
    </row>
    <row r="12" spans="1:13" s="77" customFormat="1">
      <c r="A12" s="150"/>
      <c r="B12" s="149"/>
      <c r="C12" s="149"/>
      <c r="M12" s="39"/>
    </row>
    <row r="13" spans="1:13" s="77" customFormat="1">
      <c r="A13" s="150"/>
      <c r="B13" s="149"/>
      <c r="C13" s="149"/>
      <c r="L13" s="39"/>
      <c r="M13" s="39"/>
    </row>
    <row r="14" spans="1:13" s="77" customFormat="1">
      <c r="A14" s="150"/>
      <c r="B14" s="149"/>
      <c r="C14" s="149"/>
      <c r="L14" s="39"/>
      <c r="M14" s="39"/>
    </row>
    <row r="15" spans="1:13" s="77" customFormat="1">
      <c r="A15" s="150"/>
      <c r="B15" s="149"/>
      <c r="C15" s="149"/>
    </row>
    <row r="16" spans="1:13" s="77" customFormat="1"/>
    <row r="17" spans="12:12" s="77" customFormat="1"/>
    <row r="18" spans="12:12" s="77" customFormat="1"/>
    <row r="19" spans="12:12" s="77" customFormat="1"/>
    <row r="20" spans="12:12" s="77" customFormat="1"/>
    <row r="21" spans="12:12" s="77" customFormat="1"/>
    <row r="22" spans="12:12" s="77" customFormat="1"/>
    <row r="24" spans="12:12">
      <c r="L24" s="148"/>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W24"/>
  <sheetViews>
    <sheetView showGridLines="0" view="pageBreakPreview" zoomScale="70" zoomScaleNormal="100" zoomScaleSheetLayoutView="70" workbookViewId="0">
      <selection activeCell="D10" sqref="D10"/>
    </sheetView>
  </sheetViews>
  <sheetFormatPr baseColWidth="10" defaultColWidth="11.42578125" defaultRowHeight="15"/>
  <cols>
    <col min="1" max="1" width="16.140625" style="39" customWidth="1"/>
    <col min="2" max="4" width="12.28515625" style="39" customWidth="1"/>
    <col min="5" max="5" width="14.85546875" style="39" hidden="1" customWidth="1"/>
    <col min="6" max="6" width="14.42578125" style="39" customWidth="1"/>
    <col min="7" max="8" width="13.28515625" style="39" customWidth="1"/>
    <col min="9" max="9" width="13.42578125" style="39" customWidth="1"/>
    <col min="10" max="10" width="15.28515625" style="39" customWidth="1"/>
    <col min="11" max="11" width="19.140625" style="39" customWidth="1"/>
    <col min="12" max="12" width="17" style="39" customWidth="1"/>
    <col min="13" max="14" width="11.42578125" style="39"/>
    <col min="15" max="15" width="16.28515625" style="39" customWidth="1"/>
    <col min="16" max="16" width="11.42578125" style="39" customWidth="1"/>
    <col min="17" max="16384" width="11.42578125" style="39"/>
  </cols>
  <sheetData>
    <row r="1" spans="1:23" s="77" customFormat="1" ht="67.5" customHeight="1">
      <c r="A1" s="1987"/>
      <c r="B1" s="1987"/>
      <c r="C1" s="1987"/>
      <c r="D1" s="1987"/>
      <c r="E1" s="1987"/>
      <c r="F1" s="1987"/>
      <c r="G1" s="1987"/>
      <c r="H1" s="1987"/>
      <c r="I1" s="1987"/>
      <c r="J1" s="1987"/>
      <c r="K1" s="1987"/>
      <c r="L1" s="1987"/>
      <c r="M1" s="1987"/>
      <c r="N1" s="151"/>
      <c r="O1" s="151"/>
      <c r="P1" s="151"/>
    </row>
    <row r="2" spans="1:23" ht="6.75" customHeight="1">
      <c r="A2" s="185"/>
      <c r="B2" s="185"/>
      <c r="C2" s="185"/>
      <c r="D2" s="185"/>
      <c r="E2" s="185"/>
      <c r="F2" s="185"/>
      <c r="G2" s="185"/>
      <c r="H2" s="185"/>
      <c r="I2" s="185"/>
      <c r="J2" s="185"/>
      <c r="K2" s="185"/>
      <c r="L2" s="185"/>
      <c r="M2" s="185"/>
      <c r="N2" s="187"/>
      <c r="O2" s="187"/>
      <c r="P2" s="187"/>
    </row>
    <row r="3" spans="1:23" s="77" customFormat="1" ht="31.5">
      <c r="A3" s="785" t="s">
        <v>0</v>
      </c>
      <c r="B3" s="681" t="s">
        <v>257</v>
      </c>
      <c r="C3" s="681" t="s">
        <v>256</v>
      </c>
      <c r="D3" s="681" t="s">
        <v>255</v>
      </c>
      <c r="E3" s="681" t="s">
        <v>254</v>
      </c>
      <c r="F3" s="681" t="s">
        <v>143</v>
      </c>
      <c r="G3" s="681" t="s">
        <v>253</v>
      </c>
      <c r="H3" s="681" t="s">
        <v>252</v>
      </c>
      <c r="I3" s="681" t="s">
        <v>251</v>
      </c>
      <c r="J3" s="682" t="s">
        <v>250</v>
      </c>
    </row>
    <row r="4" spans="1:23" s="77" customFormat="1" ht="15.75">
      <c r="A4" s="794" t="s">
        <v>233</v>
      </c>
      <c r="B4" s="703">
        <v>34</v>
      </c>
      <c r="C4" s="703">
        <v>28</v>
      </c>
      <c r="D4" s="703">
        <v>2</v>
      </c>
      <c r="E4" s="703">
        <v>1</v>
      </c>
      <c r="F4" s="704">
        <f t="shared" ref="F4:F9" si="0">SUM(B4:E4)</f>
        <v>65</v>
      </c>
      <c r="G4" s="807">
        <f t="shared" ref="G4:G11" si="1">B4/F4</f>
        <v>0.52307692307692311</v>
      </c>
      <c r="H4" s="807">
        <f t="shared" ref="H4:H11" si="2">C4/F4</f>
        <v>0.43076923076923079</v>
      </c>
      <c r="I4" s="807">
        <f t="shared" ref="I4:I11" si="3">D4/F4</f>
        <v>3.0769230769230771E-2</v>
      </c>
      <c r="J4" s="808">
        <f t="shared" ref="J4:J11" si="4">E4/F4</f>
        <v>1.5384615384615385E-2</v>
      </c>
    </row>
    <row r="5" spans="1:23" s="77" customFormat="1" ht="15.75">
      <c r="A5" s="794" t="s">
        <v>196</v>
      </c>
      <c r="B5" s="703">
        <v>20</v>
      </c>
      <c r="C5" s="703">
        <v>64</v>
      </c>
      <c r="D5" s="703">
        <v>5</v>
      </c>
      <c r="E5" s="703">
        <v>0</v>
      </c>
      <c r="F5" s="704">
        <f t="shared" si="0"/>
        <v>89</v>
      </c>
      <c r="G5" s="807">
        <f t="shared" si="1"/>
        <v>0.2247191011235955</v>
      </c>
      <c r="H5" s="807">
        <f t="shared" si="2"/>
        <v>0.7191011235955056</v>
      </c>
      <c r="I5" s="807">
        <f t="shared" si="3"/>
        <v>5.6179775280898875E-2</v>
      </c>
      <c r="J5" s="808">
        <f t="shared" si="4"/>
        <v>0</v>
      </c>
      <c r="P5" s="39"/>
    </row>
    <row r="6" spans="1:23" s="77" customFormat="1" ht="15.75">
      <c r="A6" s="494" t="s">
        <v>234</v>
      </c>
      <c r="B6" s="667">
        <v>29</v>
      </c>
      <c r="C6" s="667">
        <v>54</v>
      </c>
      <c r="D6" s="667">
        <v>3</v>
      </c>
      <c r="E6" s="667">
        <v>0</v>
      </c>
      <c r="F6" s="715">
        <f t="shared" si="0"/>
        <v>86</v>
      </c>
      <c r="G6" s="807">
        <f t="shared" si="1"/>
        <v>0.33720930232558138</v>
      </c>
      <c r="H6" s="807">
        <f t="shared" si="2"/>
        <v>0.62790697674418605</v>
      </c>
      <c r="I6" s="807">
        <f t="shared" si="3"/>
        <v>3.4883720930232558E-2</v>
      </c>
      <c r="J6" s="808">
        <f t="shared" si="4"/>
        <v>0</v>
      </c>
    </row>
    <row r="7" spans="1:23" s="77" customFormat="1" ht="15.75">
      <c r="A7" s="494" t="s">
        <v>485</v>
      </c>
      <c r="B7" s="667">
        <v>15</v>
      </c>
      <c r="C7" s="667">
        <v>26</v>
      </c>
      <c r="D7" s="667">
        <v>4</v>
      </c>
      <c r="E7" s="667"/>
      <c r="F7" s="715">
        <f t="shared" si="0"/>
        <v>45</v>
      </c>
      <c r="G7" s="807">
        <f t="shared" si="1"/>
        <v>0.33333333333333331</v>
      </c>
      <c r="H7" s="807">
        <f t="shared" si="2"/>
        <v>0.57777777777777772</v>
      </c>
      <c r="I7" s="807">
        <f t="shared" si="3"/>
        <v>8.8888888888888892E-2</v>
      </c>
      <c r="J7" s="808">
        <f t="shared" si="4"/>
        <v>0</v>
      </c>
    </row>
    <row r="8" spans="1:23" s="77" customFormat="1" ht="15.75">
      <c r="A8" s="494" t="s">
        <v>573</v>
      </c>
      <c r="B8" s="667">
        <v>40</v>
      </c>
      <c r="C8" s="667">
        <v>38</v>
      </c>
      <c r="D8" s="667">
        <v>1</v>
      </c>
      <c r="E8" s="667"/>
      <c r="F8" s="715">
        <f t="shared" si="0"/>
        <v>79</v>
      </c>
      <c r="G8" s="807">
        <f t="shared" si="1"/>
        <v>0.50632911392405067</v>
      </c>
      <c r="H8" s="807">
        <f t="shared" si="2"/>
        <v>0.48101265822784811</v>
      </c>
      <c r="I8" s="807">
        <f t="shared" si="3"/>
        <v>1.2658227848101266E-2</v>
      </c>
      <c r="J8" s="808">
        <f t="shared" si="4"/>
        <v>0</v>
      </c>
    </row>
    <row r="9" spans="1:23" s="77" customFormat="1" ht="15.75">
      <c r="A9" s="494" t="s">
        <v>581</v>
      </c>
      <c r="B9" s="667">
        <v>31</v>
      </c>
      <c r="C9" s="667">
        <v>32</v>
      </c>
      <c r="D9" s="667">
        <v>3</v>
      </c>
      <c r="E9" s="667"/>
      <c r="F9" s="715">
        <f t="shared" si="0"/>
        <v>66</v>
      </c>
      <c r="G9" s="807">
        <f t="shared" si="1"/>
        <v>0.46969696969696972</v>
      </c>
      <c r="H9" s="807">
        <f t="shared" si="2"/>
        <v>0.48484848484848486</v>
      </c>
      <c r="I9" s="807">
        <f t="shared" si="3"/>
        <v>4.5454545454545456E-2</v>
      </c>
      <c r="J9" s="808">
        <f t="shared" si="4"/>
        <v>0</v>
      </c>
    </row>
    <row r="10" spans="1:23" s="77" customFormat="1" ht="15.75">
      <c r="A10" s="494" t="s">
        <v>968</v>
      </c>
      <c r="B10" s="667">
        <f>1+5+3+3+4+3</f>
        <v>19</v>
      </c>
      <c r="C10" s="667">
        <f>3+2+4+5+1+5</f>
        <v>20</v>
      </c>
      <c r="D10" s="667">
        <v>0</v>
      </c>
      <c r="E10" s="667"/>
      <c r="F10" s="715">
        <f>SUM(B10:E10)</f>
        <v>39</v>
      </c>
      <c r="G10" s="807">
        <f t="shared" si="1"/>
        <v>0.48717948717948717</v>
      </c>
      <c r="H10" s="807">
        <f t="shared" si="2"/>
        <v>0.51282051282051277</v>
      </c>
      <c r="I10" s="807">
        <f t="shared" si="3"/>
        <v>0</v>
      </c>
      <c r="J10" s="808">
        <f t="shared" si="4"/>
        <v>0</v>
      </c>
    </row>
    <row r="11" spans="1:23" s="77" customFormat="1" ht="15.75">
      <c r="A11" s="699" t="s">
        <v>23</v>
      </c>
      <c r="B11" s="803">
        <f>SUM(B4:B10)</f>
        <v>188</v>
      </c>
      <c r="C11" s="803">
        <f>SUM(C4:C10)</f>
        <v>262</v>
      </c>
      <c r="D11" s="803">
        <f>SUM(D4:D10)</f>
        <v>18</v>
      </c>
      <c r="E11" s="803">
        <f>SUM(E4:E10)</f>
        <v>1</v>
      </c>
      <c r="F11" s="803">
        <f>SUM(F4:F10)</f>
        <v>469</v>
      </c>
      <c r="G11" s="805">
        <f t="shared" si="1"/>
        <v>0.40085287846481876</v>
      </c>
      <c r="H11" s="805">
        <f t="shared" si="2"/>
        <v>0.55863539445628996</v>
      </c>
      <c r="I11" s="805">
        <f t="shared" si="3"/>
        <v>3.8379530916844352E-2</v>
      </c>
      <c r="J11" s="806">
        <f t="shared" si="4"/>
        <v>2.1321961620469083E-3</v>
      </c>
    </row>
    <row r="12" spans="1:23" s="77" customFormat="1" ht="18" customHeight="1">
      <c r="A12" s="150" t="s">
        <v>914</v>
      </c>
      <c r="B12" s="149"/>
      <c r="C12" s="149"/>
      <c r="D12" s="149"/>
      <c r="E12" s="149"/>
      <c r="P12" s="209"/>
      <c r="Q12" s="209"/>
      <c r="R12" s="209"/>
      <c r="S12" s="209"/>
      <c r="T12" s="209"/>
      <c r="U12" s="209"/>
      <c r="V12" s="209"/>
      <c r="W12" s="209"/>
    </row>
    <row r="13" spans="1:23" s="77" customFormat="1">
      <c r="A13" s="150"/>
      <c r="B13" s="149"/>
      <c r="C13" s="149"/>
      <c r="D13" s="149"/>
      <c r="E13" s="149"/>
      <c r="O13" s="39"/>
      <c r="P13" s="209"/>
      <c r="Q13" s="209"/>
      <c r="R13" s="209"/>
      <c r="S13" s="209"/>
      <c r="T13" s="209"/>
      <c r="U13" s="209"/>
      <c r="V13" s="209"/>
      <c r="W13" s="209"/>
    </row>
    <row r="14" spans="1:23" s="77" customFormat="1">
      <c r="A14" s="150"/>
      <c r="B14" s="149"/>
      <c r="C14" s="149"/>
      <c r="D14" s="149"/>
      <c r="E14" s="149"/>
      <c r="O14" s="39"/>
      <c r="P14" s="209"/>
      <c r="Q14" s="209"/>
      <c r="R14" s="209"/>
      <c r="S14" s="209"/>
      <c r="T14" s="209"/>
      <c r="U14" s="209"/>
      <c r="V14" s="209"/>
      <c r="W14" s="209"/>
    </row>
    <row r="15" spans="1:23" s="77" customFormat="1">
      <c r="A15" s="150"/>
      <c r="B15" s="149"/>
      <c r="C15" s="149"/>
      <c r="D15" s="149"/>
      <c r="E15" s="149"/>
      <c r="P15" s="209"/>
      <c r="Q15" s="209"/>
      <c r="R15" s="209"/>
      <c r="S15" s="209"/>
      <c r="T15" s="209"/>
      <c r="U15" s="209"/>
      <c r="V15" s="209"/>
      <c r="W15" s="209"/>
    </row>
    <row r="16" spans="1:23" s="77" customFormat="1"/>
    <row r="17" spans="15:15" s="77" customFormat="1"/>
    <row r="18" spans="15:15" s="77" customFormat="1"/>
    <row r="19" spans="15:15" s="77" customFormat="1"/>
    <row r="20" spans="15:15" s="77" customFormat="1"/>
    <row r="21" spans="15:15" s="77" customFormat="1"/>
    <row r="22" spans="15:15" s="77" customFormat="1"/>
    <row r="24" spans="15:15">
      <c r="O24" s="148"/>
    </row>
  </sheetData>
  <mergeCells count="1">
    <mergeCell ref="A1:M1"/>
  </mergeCells>
  <printOptions horizontalCentered="1"/>
  <pageMargins left="0.39370078740157483" right="0.39370078740157483" top="0.23622047244094491" bottom="0.23622047244094491" header="0.31496062992125984" footer="0.31496062992125984"/>
  <pageSetup scale="76"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2"/>
  <sheetViews>
    <sheetView showGridLines="0" view="pageBreakPreview" zoomScale="70" zoomScaleNormal="100" zoomScaleSheetLayoutView="70" workbookViewId="0">
      <selection activeCell="E10" sqref="E10"/>
    </sheetView>
  </sheetViews>
  <sheetFormatPr baseColWidth="10" defaultColWidth="11.42578125" defaultRowHeight="15"/>
  <cols>
    <col min="1" max="1" width="17.7109375" style="39" customWidth="1"/>
    <col min="2" max="6" width="11.42578125" style="39" customWidth="1"/>
    <col min="7" max="7" width="14.140625" style="39" customWidth="1"/>
    <col min="8" max="8" width="13.28515625" style="39" customWidth="1"/>
    <col min="9" max="10" width="14.85546875" style="39" customWidth="1"/>
    <col min="11" max="11" width="18.140625" style="39" customWidth="1"/>
    <col min="12" max="12" width="17.140625" style="39" customWidth="1"/>
    <col min="13" max="16384" width="11.42578125" style="39"/>
  </cols>
  <sheetData>
    <row r="1" spans="1:13" s="77" customFormat="1" ht="69" customHeight="1">
      <c r="A1" s="1999"/>
      <c r="B1" s="1999"/>
      <c r="C1" s="1999"/>
      <c r="D1" s="1999"/>
      <c r="E1" s="1999"/>
      <c r="F1" s="1999"/>
      <c r="G1" s="1999"/>
      <c r="H1" s="1999"/>
      <c r="I1" s="1999"/>
      <c r="J1" s="1999"/>
      <c r="K1" s="1999"/>
      <c r="L1" s="1999"/>
      <c r="M1" s="151"/>
    </row>
    <row r="2" spans="1:13" ht="3" customHeight="1">
      <c r="A2" s="203"/>
      <c r="B2" s="203"/>
      <c r="C2" s="203"/>
      <c r="D2" s="203"/>
      <c r="E2" s="203"/>
      <c r="F2" s="203"/>
      <c r="G2" s="203"/>
      <c r="H2" s="203"/>
      <c r="I2" s="203"/>
      <c r="J2" s="203"/>
      <c r="K2" s="203"/>
      <c r="L2" s="203"/>
      <c r="M2" s="187"/>
    </row>
    <row r="3" spans="1:13" s="77" customFormat="1" ht="31.5">
      <c r="A3" s="785" t="s">
        <v>0</v>
      </c>
      <c r="B3" s="681" t="s">
        <v>380</v>
      </c>
      <c r="C3" s="681" t="s">
        <v>379</v>
      </c>
      <c r="D3" s="681" t="s">
        <v>378</v>
      </c>
      <c r="E3" s="681" t="s">
        <v>377</v>
      </c>
      <c r="F3" s="681" t="s">
        <v>143</v>
      </c>
      <c r="G3" s="681" t="s">
        <v>413</v>
      </c>
      <c r="H3" s="681" t="s">
        <v>373</v>
      </c>
      <c r="I3" s="681" t="s">
        <v>372</v>
      </c>
      <c r="J3" s="682" t="s">
        <v>371</v>
      </c>
    </row>
    <row r="4" spans="1:13" s="77" customFormat="1" ht="15.75">
      <c r="A4" s="794" t="s">
        <v>233</v>
      </c>
      <c r="B4" s="703">
        <v>11</v>
      </c>
      <c r="C4" s="703">
        <v>50</v>
      </c>
      <c r="D4" s="703">
        <v>2</v>
      </c>
      <c r="E4" s="703">
        <v>2</v>
      </c>
      <c r="F4" s="809">
        <f t="shared" ref="F4:F10" si="0">SUM(B4:E4)</f>
        <v>65</v>
      </c>
      <c r="G4" s="807">
        <f t="shared" ref="G4:G11" si="1">B4/F4</f>
        <v>0.16923076923076924</v>
      </c>
      <c r="H4" s="807">
        <f t="shared" ref="H4:H11" si="2">C4/F4</f>
        <v>0.76923076923076927</v>
      </c>
      <c r="I4" s="807">
        <f t="shared" ref="I4:I11" si="3">D4/F4</f>
        <v>3.0769230769230771E-2</v>
      </c>
      <c r="J4" s="808">
        <f t="shared" ref="J4:J11" si="4">E4/F4</f>
        <v>3.0769230769230771E-2</v>
      </c>
    </row>
    <row r="5" spans="1:13" s="77" customFormat="1" ht="15.75">
      <c r="A5" s="794" t="s">
        <v>196</v>
      </c>
      <c r="B5" s="703">
        <v>7</v>
      </c>
      <c r="C5" s="703">
        <v>60</v>
      </c>
      <c r="D5" s="703">
        <v>14</v>
      </c>
      <c r="E5" s="703">
        <v>8</v>
      </c>
      <c r="F5" s="809">
        <f t="shared" si="0"/>
        <v>89</v>
      </c>
      <c r="G5" s="807">
        <f t="shared" si="1"/>
        <v>7.8651685393258425E-2</v>
      </c>
      <c r="H5" s="807">
        <f t="shared" si="2"/>
        <v>0.6741573033707865</v>
      </c>
      <c r="I5" s="807">
        <f t="shared" si="3"/>
        <v>0.15730337078651685</v>
      </c>
      <c r="J5" s="808">
        <f t="shared" si="4"/>
        <v>8.98876404494382E-2</v>
      </c>
    </row>
    <row r="6" spans="1:13" s="77" customFormat="1" ht="15.75">
      <c r="A6" s="494" t="s">
        <v>234</v>
      </c>
      <c r="B6" s="667">
        <v>6</v>
      </c>
      <c r="C6" s="667">
        <v>64</v>
      </c>
      <c r="D6" s="667">
        <v>10</v>
      </c>
      <c r="E6" s="667">
        <v>6</v>
      </c>
      <c r="F6" s="810">
        <f t="shared" si="0"/>
        <v>86</v>
      </c>
      <c r="G6" s="807">
        <f t="shared" si="1"/>
        <v>6.9767441860465115E-2</v>
      </c>
      <c r="H6" s="807">
        <f t="shared" si="2"/>
        <v>0.7441860465116279</v>
      </c>
      <c r="I6" s="807">
        <f t="shared" si="3"/>
        <v>0.11627906976744186</v>
      </c>
      <c r="J6" s="808">
        <f t="shared" si="4"/>
        <v>6.9767441860465115E-2</v>
      </c>
    </row>
    <row r="7" spans="1:13" s="77" customFormat="1" ht="15.75">
      <c r="A7" s="494" t="s">
        <v>485</v>
      </c>
      <c r="B7" s="667">
        <v>6</v>
      </c>
      <c r="C7" s="667">
        <v>26</v>
      </c>
      <c r="D7" s="667">
        <v>10</v>
      </c>
      <c r="E7" s="667">
        <v>3</v>
      </c>
      <c r="F7" s="810">
        <f t="shared" si="0"/>
        <v>45</v>
      </c>
      <c r="G7" s="807">
        <f t="shared" si="1"/>
        <v>0.13333333333333333</v>
      </c>
      <c r="H7" s="807">
        <f t="shared" si="2"/>
        <v>0.57777777777777772</v>
      </c>
      <c r="I7" s="807">
        <f t="shared" si="3"/>
        <v>0.22222222222222221</v>
      </c>
      <c r="J7" s="808">
        <f t="shared" si="4"/>
        <v>6.6666666666666666E-2</v>
      </c>
    </row>
    <row r="8" spans="1:13" s="77" customFormat="1" ht="15.75">
      <c r="A8" s="494" t="s">
        <v>573</v>
      </c>
      <c r="B8" s="667">
        <v>8</v>
      </c>
      <c r="C8" s="667">
        <v>58</v>
      </c>
      <c r="D8" s="667">
        <v>8</v>
      </c>
      <c r="E8" s="667">
        <v>5</v>
      </c>
      <c r="F8" s="810">
        <f t="shared" si="0"/>
        <v>79</v>
      </c>
      <c r="G8" s="807">
        <f t="shared" si="1"/>
        <v>0.10126582278481013</v>
      </c>
      <c r="H8" s="807">
        <f t="shared" si="2"/>
        <v>0.73417721518987344</v>
      </c>
      <c r="I8" s="807">
        <f t="shared" si="3"/>
        <v>0.10126582278481013</v>
      </c>
      <c r="J8" s="808">
        <f t="shared" si="4"/>
        <v>6.3291139240506333E-2</v>
      </c>
    </row>
    <row r="9" spans="1:13" s="77" customFormat="1" ht="15.75">
      <c r="A9" s="494" t="s">
        <v>581</v>
      </c>
      <c r="B9" s="667">
        <v>7</v>
      </c>
      <c r="C9" s="667">
        <v>49</v>
      </c>
      <c r="D9" s="667">
        <v>8</v>
      </c>
      <c r="E9" s="667">
        <v>2</v>
      </c>
      <c r="F9" s="810">
        <f t="shared" si="0"/>
        <v>66</v>
      </c>
      <c r="G9" s="807">
        <f t="shared" si="1"/>
        <v>0.10606060606060606</v>
      </c>
      <c r="H9" s="807">
        <f t="shared" si="2"/>
        <v>0.74242424242424243</v>
      </c>
      <c r="I9" s="807">
        <f t="shared" si="3"/>
        <v>0.12121212121212122</v>
      </c>
      <c r="J9" s="808">
        <f t="shared" si="4"/>
        <v>3.0303030303030304E-2</v>
      </c>
    </row>
    <row r="10" spans="1:13" s="77" customFormat="1" ht="15.75">
      <c r="A10" s="494" t="s">
        <v>968</v>
      </c>
      <c r="B10" s="667">
        <f>4+3+3</f>
        <v>10</v>
      </c>
      <c r="C10" s="667">
        <f>4+6+7+4+1+4</f>
        <v>26</v>
      </c>
      <c r="D10" s="667">
        <v>3</v>
      </c>
      <c r="E10" s="667">
        <v>0</v>
      </c>
      <c r="F10" s="810">
        <f t="shared" si="0"/>
        <v>39</v>
      </c>
      <c r="G10" s="807">
        <f t="shared" si="1"/>
        <v>0.25641025641025639</v>
      </c>
      <c r="H10" s="807">
        <f t="shared" si="2"/>
        <v>0.66666666666666663</v>
      </c>
      <c r="I10" s="807">
        <f t="shared" si="3"/>
        <v>7.6923076923076927E-2</v>
      </c>
      <c r="J10" s="808">
        <f t="shared" si="4"/>
        <v>0</v>
      </c>
    </row>
    <row r="11" spans="1:13" s="77" customFormat="1" ht="15.75">
      <c r="A11" s="699" t="s">
        <v>23</v>
      </c>
      <c r="B11" s="803">
        <f>SUM(B4:B10)</f>
        <v>55</v>
      </c>
      <c r="C11" s="803">
        <f>SUM(C4:C10)</f>
        <v>333</v>
      </c>
      <c r="D11" s="803">
        <f>SUM(D4:D10)</f>
        <v>55</v>
      </c>
      <c r="E11" s="803">
        <f>SUM(E4:E10)</f>
        <v>26</v>
      </c>
      <c r="F11" s="803">
        <f>SUM(F4:F10)</f>
        <v>469</v>
      </c>
      <c r="G11" s="805">
        <f t="shared" si="1"/>
        <v>0.11727078891257996</v>
      </c>
      <c r="H11" s="805">
        <f t="shared" si="2"/>
        <v>0.71002132196162049</v>
      </c>
      <c r="I11" s="805">
        <f t="shared" si="3"/>
        <v>0.11727078891257996</v>
      </c>
      <c r="J11" s="806">
        <f t="shared" si="4"/>
        <v>5.5437100213219619E-2</v>
      </c>
    </row>
    <row r="12" spans="1:13" s="77" customFormat="1">
      <c r="A12" s="150"/>
      <c r="B12" s="149"/>
      <c r="C12" s="149"/>
      <c r="D12" s="149"/>
      <c r="E12" s="149"/>
    </row>
    <row r="13" spans="1:13" s="77" customFormat="1">
      <c r="A13" s="150"/>
      <c r="B13" s="149"/>
      <c r="C13" s="149"/>
      <c r="D13" s="149"/>
      <c r="E13" s="149"/>
    </row>
    <row r="14" spans="1:13" s="77" customFormat="1">
      <c r="A14" s="150"/>
      <c r="B14" s="149"/>
      <c r="C14" s="149"/>
      <c r="D14" s="149"/>
      <c r="E14" s="149"/>
    </row>
    <row r="15" spans="1:13" s="77" customFormat="1">
      <c r="A15" s="150"/>
      <c r="B15" s="149"/>
      <c r="C15" s="149"/>
      <c r="D15" s="149"/>
      <c r="E15" s="149"/>
    </row>
    <row r="16" spans="1:13" s="77" customFormat="1"/>
    <row r="17" s="77" customFormat="1"/>
    <row r="18" s="77" customFormat="1"/>
    <row r="19" s="77" customFormat="1"/>
    <row r="20" s="77" customFormat="1"/>
    <row r="21" s="77" customFormat="1"/>
    <row r="22"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R24"/>
  <sheetViews>
    <sheetView showGridLines="0" view="pageBreakPreview" zoomScale="85" zoomScaleNormal="100" zoomScaleSheetLayoutView="85" workbookViewId="0">
      <selection activeCell="E11" sqref="E11"/>
    </sheetView>
  </sheetViews>
  <sheetFormatPr baseColWidth="10" defaultColWidth="11.42578125" defaultRowHeight="15"/>
  <cols>
    <col min="1" max="1" width="14.8554687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7" customFormat="1" ht="78.75" customHeight="1">
      <c r="A1" s="1988"/>
      <c r="B1" s="1988"/>
      <c r="C1" s="1988"/>
      <c r="D1" s="1988"/>
      <c r="E1" s="1988"/>
      <c r="F1" s="1988"/>
      <c r="G1" s="1988"/>
      <c r="H1" s="1988"/>
      <c r="I1" s="1988"/>
      <c r="J1" s="1988"/>
      <c r="K1" s="1988"/>
      <c r="L1" s="1988"/>
      <c r="M1" s="1988"/>
      <c r="N1" s="1988"/>
      <c r="O1" s="151"/>
      <c r="P1" s="151"/>
      <c r="Q1" s="151"/>
      <c r="R1" s="151"/>
    </row>
    <row r="2" spans="1:18" s="77" customFormat="1" ht="4.5" customHeight="1">
      <c r="A2" s="701"/>
      <c r="B2" s="185"/>
      <c r="C2" s="185"/>
      <c r="D2" s="185"/>
      <c r="E2" s="185"/>
      <c r="F2" s="185"/>
      <c r="G2" s="185"/>
      <c r="H2" s="185"/>
      <c r="I2" s="185"/>
      <c r="J2" s="185"/>
      <c r="K2" s="185"/>
      <c r="L2" s="185"/>
      <c r="M2" s="185"/>
      <c r="N2" s="185"/>
      <c r="O2" s="151"/>
      <c r="P2" s="151"/>
      <c r="Q2" s="151"/>
      <c r="R2" s="151"/>
    </row>
    <row r="3" spans="1:18" s="77" customFormat="1" ht="44.25" customHeight="1">
      <c r="A3" s="785" t="s">
        <v>0</v>
      </c>
      <c r="B3" s="681" t="s">
        <v>390</v>
      </c>
      <c r="C3" s="681" t="s">
        <v>389</v>
      </c>
      <c r="D3" s="681" t="s">
        <v>388</v>
      </c>
      <c r="E3" s="681" t="s">
        <v>387</v>
      </c>
      <c r="F3" s="681" t="s">
        <v>386</v>
      </c>
      <c r="G3" s="681" t="s">
        <v>375</v>
      </c>
      <c r="H3" s="681" t="s">
        <v>143</v>
      </c>
      <c r="I3" s="791" t="s">
        <v>385</v>
      </c>
      <c r="J3" s="791" t="s">
        <v>384</v>
      </c>
      <c r="K3" s="681" t="s">
        <v>383</v>
      </c>
      <c r="L3" s="681" t="s">
        <v>382</v>
      </c>
      <c r="M3" s="681" t="s">
        <v>381</v>
      </c>
      <c r="N3" s="682" t="s">
        <v>250</v>
      </c>
    </row>
    <row r="4" spans="1:18" s="77" customFormat="1" ht="15.75">
      <c r="A4" s="683" t="s">
        <v>233</v>
      </c>
      <c r="B4" s="679">
        <v>13</v>
      </c>
      <c r="C4" s="679">
        <v>4</v>
      </c>
      <c r="D4" s="679">
        <v>6</v>
      </c>
      <c r="E4" s="679">
        <v>28</v>
      </c>
      <c r="F4" s="679">
        <v>14</v>
      </c>
      <c r="G4" s="679">
        <v>0</v>
      </c>
      <c r="H4" s="779">
        <f t="shared" ref="H4:H10" si="0">SUM(B4:G4)</f>
        <v>65</v>
      </c>
      <c r="I4" s="811">
        <f t="shared" ref="I4:I11" si="1">B4/H4</f>
        <v>0.2</v>
      </c>
      <c r="J4" s="811">
        <f t="shared" ref="J4:J11" si="2">C4/H4</f>
        <v>6.1538461538461542E-2</v>
      </c>
      <c r="K4" s="811">
        <f t="shared" ref="K4:K11" si="3">D4/H4</f>
        <v>9.2307692307692313E-2</v>
      </c>
      <c r="L4" s="811">
        <f t="shared" ref="L4:L11" si="4">E4/H4</f>
        <v>0.43076923076923079</v>
      </c>
      <c r="M4" s="811">
        <f t="shared" ref="M4:M11" si="5">F4/H4</f>
        <v>0.2153846153846154</v>
      </c>
      <c r="N4" s="812">
        <f t="shared" ref="N4:N11" si="6">G4/H4</f>
        <v>0</v>
      </c>
    </row>
    <row r="5" spans="1:18" s="77" customFormat="1" ht="15.75">
      <c r="A5" s="683" t="s">
        <v>196</v>
      </c>
      <c r="B5" s="679">
        <v>7</v>
      </c>
      <c r="C5" s="679">
        <v>8</v>
      </c>
      <c r="D5" s="679">
        <v>0</v>
      </c>
      <c r="E5" s="679">
        <v>55</v>
      </c>
      <c r="F5" s="679">
        <v>17</v>
      </c>
      <c r="G5" s="679">
        <v>2</v>
      </c>
      <c r="H5" s="779">
        <f t="shared" si="0"/>
        <v>89</v>
      </c>
      <c r="I5" s="811">
        <f t="shared" si="1"/>
        <v>7.8651685393258425E-2</v>
      </c>
      <c r="J5" s="811">
        <f t="shared" si="2"/>
        <v>8.98876404494382E-2</v>
      </c>
      <c r="K5" s="811">
        <f t="shared" si="3"/>
        <v>0</v>
      </c>
      <c r="L5" s="811">
        <f t="shared" si="4"/>
        <v>0.6179775280898876</v>
      </c>
      <c r="M5" s="811">
        <f t="shared" si="5"/>
        <v>0.19101123595505617</v>
      </c>
      <c r="N5" s="812">
        <f t="shared" si="6"/>
        <v>2.247191011235955E-2</v>
      </c>
      <c r="R5" s="39"/>
    </row>
    <row r="6" spans="1:18" s="77" customFormat="1" ht="15.75">
      <c r="A6" s="683" t="s">
        <v>234</v>
      </c>
      <c r="B6" s="679">
        <v>14</v>
      </c>
      <c r="C6" s="679">
        <v>6</v>
      </c>
      <c r="D6" s="679">
        <v>1</v>
      </c>
      <c r="E6" s="679">
        <v>55</v>
      </c>
      <c r="F6" s="679">
        <v>4</v>
      </c>
      <c r="G6" s="679">
        <v>6</v>
      </c>
      <c r="H6" s="779">
        <f t="shared" si="0"/>
        <v>86</v>
      </c>
      <c r="I6" s="811">
        <f t="shared" si="1"/>
        <v>0.16279069767441862</v>
      </c>
      <c r="J6" s="811">
        <f t="shared" si="2"/>
        <v>6.9767441860465115E-2</v>
      </c>
      <c r="K6" s="811">
        <f t="shared" si="3"/>
        <v>1.1627906976744186E-2</v>
      </c>
      <c r="L6" s="811">
        <f t="shared" si="4"/>
        <v>0.63953488372093026</v>
      </c>
      <c r="M6" s="811">
        <f t="shared" si="5"/>
        <v>4.6511627906976744E-2</v>
      </c>
      <c r="N6" s="812">
        <f t="shared" si="6"/>
        <v>6.9767441860465115E-2</v>
      </c>
    </row>
    <row r="7" spans="1:18" s="77" customFormat="1" ht="15.75">
      <c r="A7" s="683" t="s">
        <v>485</v>
      </c>
      <c r="B7" s="288">
        <v>1</v>
      </c>
      <c r="C7" s="288">
        <v>0</v>
      </c>
      <c r="D7" s="288">
        <v>0</v>
      </c>
      <c r="E7" s="288">
        <v>36</v>
      </c>
      <c r="F7" s="288">
        <v>1</v>
      </c>
      <c r="G7" s="288">
        <v>7</v>
      </c>
      <c r="H7" s="687">
        <f t="shared" si="0"/>
        <v>45</v>
      </c>
      <c r="I7" s="811">
        <f t="shared" si="1"/>
        <v>2.2222222222222223E-2</v>
      </c>
      <c r="J7" s="811">
        <f t="shared" si="2"/>
        <v>0</v>
      </c>
      <c r="K7" s="811">
        <f t="shared" si="3"/>
        <v>0</v>
      </c>
      <c r="L7" s="811">
        <f t="shared" si="4"/>
        <v>0.8</v>
      </c>
      <c r="M7" s="811">
        <f t="shared" si="5"/>
        <v>2.2222222222222223E-2</v>
      </c>
      <c r="N7" s="812">
        <f t="shared" si="6"/>
        <v>0.15555555555555556</v>
      </c>
    </row>
    <row r="8" spans="1:18" s="77" customFormat="1" ht="15.75">
      <c r="A8" s="683" t="s">
        <v>573</v>
      </c>
      <c r="B8" s="288">
        <v>2</v>
      </c>
      <c r="C8" s="288">
        <v>2</v>
      </c>
      <c r="D8" s="288">
        <v>1</v>
      </c>
      <c r="E8" s="288">
        <v>64</v>
      </c>
      <c r="F8" s="288">
        <v>7</v>
      </c>
      <c r="G8" s="288">
        <v>3</v>
      </c>
      <c r="H8" s="687">
        <f t="shared" si="0"/>
        <v>79</v>
      </c>
      <c r="I8" s="811">
        <f t="shared" si="1"/>
        <v>2.5316455696202531E-2</v>
      </c>
      <c r="J8" s="811">
        <f t="shared" si="2"/>
        <v>2.5316455696202531E-2</v>
      </c>
      <c r="K8" s="811">
        <f t="shared" si="3"/>
        <v>1.2658227848101266E-2</v>
      </c>
      <c r="L8" s="811">
        <f t="shared" si="4"/>
        <v>0.810126582278481</v>
      </c>
      <c r="M8" s="811">
        <f t="shared" si="5"/>
        <v>8.8607594936708861E-2</v>
      </c>
      <c r="N8" s="812">
        <f t="shared" si="6"/>
        <v>3.7974683544303799E-2</v>
      </c>
    </row>
    <row r="9" spans="1:18" s="77" customFormat="1" ht="15.75">
      <c r="A9" s="683" t="s">
        <v>581</v>
      </c>
      <c r="B9" s="288">
        <v>2</v>
      </c>
      <c r="C9" s="288">
        <v>12</v>
      </c>
      <c r="D9" s="288">
        <v>1</v>
      </c>
      <c r="E9" s="288">
        <v>46</v>
      </c>
      <c r="F9" s="288">
        <v>5</v>
      </c>
      <c r="G9" s="288">
        <v>0</v>
      </c>
      <c r="H9" s="687">
        <f t="shared" si="0"/>
        <v>66</v>
      </c>
      <c r="I9" s="811">
        <f t="shared" si="1"/>
        <v>3.0303030303030304E-2</v>
      </c>
      <c r="J9" s="811">
        <f t="shared" si="2"/>
        <v>0.18181818181818182</v>
      </c>
      <c r="K9" s="811">
        <f t="shared" si="3"/>
        <v>1.5151515151515152E-2</v>
      </c>
      <c r="L9" s="811">
        <f t="shared" si="4"/>
        <v>0.69696969696969702</v>
      </c>
      <c r="M9" s="811">
        <f t="shared" si="5"/>
        <v>7.575757575757576E-2</v>
      </c>
      <c r="N9" s="812">
        <f t="shared" si="6"/>
        <v>0</v>
      </c>
    </row>
    <row r="10" spans="1:18" s="77" customFormat="1" ht="15.75">
      <c r="A10" s="683" t="s">
        <v>968</v>
      </c>
      <c r="B10" s="288">
        <v>1</v>
      </c>
      <c r="C10" s="288">
        <v>2</v>
      </c>
      <c r="D10" s="288">
        <v>0</v>
      </c>
      <c r="E10" s="288">
        <f>4+3+6+7+5+8</f>
        <v>33</v>
      </c>
      <c r="F10" s="288">
        <v>3</v>
      </c>
      <c r="G10" s="288">
        <v>0</v>
      </c>
      <c r="H10" s="687">
        <f t="shared" si="0"/>
        <v>39</v>
      </c>
      <c r="I10" s="811">
        <f t="shared" si="1"/>
        <v>2.564102564102564E-2</v>
      </c>
      <c r="J10" s="811">
        <f t="shared" si="2"/>
        <v>5.128205128205128E-2</v>
      </c>
      <c r="K10" s="811">
        <f t="shared" si="3"/>
        <v>0</v>
      </c>
      <c r="L10" s="811">
        <f t="shared" si="4"/>
        <v>0.84615384615384615</v>
      </c>
      <c r="M10" s="811">
        <f t="shared" si="5"/>
        <v>7.6923076923076927E-2</v>
      </c>
      <c r="N10" s="812">
        <f t="shared" si="6"/>
        <v>0</v>
      </c>
    </row>
    <row r="11" spans="1:18" s="77" customFormat="1" ht="15.75">
      <c r="A11" s="678" t="s">
        <v>23</v>
      </c>
      <c r="B11" s="684">
        <f>SUM(B4:B10)</f>
        <v>40</v>
      </c>
      <c r="C11" s="684">
        <f t="shared" ref="C11:H11" si="7">SUM(C4:C10)</f>
        <v>34</v>
      </c>
      <c r="D11" s="684">
        <f t="shared" si="7"/>
        <v>9</v>
      </c>
      <c r="E11" s="684">
        <f t="shared" si="7"/>
        <v>317</v>
      </c>
      <c r="F11" s="684">
        <f t="shared" si="7"/>
        <v>51</v>
      </c>
      <c r="G11" s="684">
        <f t="shared" si="7"/>
        <v>18</v>
      </c>
      <c r="H11" s="684">
        <f t="shared" si="7"/>
        <v>469</v>
      </c>
      <c r="I11" s="685">
        <f t="shared" si="1"/>
        <v>8.5287846481876331E-2</v>
      </c>
      <c r="J11" s="685">
        <f t="shared" si="2"/>
        <v>7.2494669509594878E-2</v>
      </c>
      <c r="K11" s="685">
        <f t="shared" si="3"/>
        <v>1.9189765458422176E-2</v>
      </c>
      <c r="L11" s="685">
        <f t="shared" si="4"/>
        <v>0.67590618336886998</v>
      </c>
      <c r="M11" s="685">
        <f t="shared" si="5"/>
        <v>0.10874200426439233</v>
      </c>
      <c r="N11" s="686">
        <f t="shared" si="6"/>
        <v>3.8379530916844352E-2</v>
      </c>
    </row>
    <row r="12" spans="1:18" s="77" customFormat="1">
      <c r="A12" s="150"/>
      <c r="B12" s="149"/>
      <c r="C12" s="149"/>
      <c r="D12" s="149"/>
      <c r="E12" s="149"/>
      <c r="F12" s="149"/>
      <c r="G12" s="149"/>
    </row>
    <row r="13" spans="1:18" s="77" customFormat="1">
      <c r="A13" s="150"/>
      <c r="B13" s="149"/>
      <c r="C13" s="149"/>
      <c r="D13" s="149"/>
      <c r="E13" s="149"/>
      <c r="F13" s="149"/>
      <c r="G13" s="149"/>
      <c r="Q13" s="39"/>
    </row>
    <row r="14" spans="1:18" s="77" customFormat="1">
      <c r="A14" s="150"/>
      <c r="B14" s="149"/>
      <c r="C14" s="149"/>
      <c r="D14" s="149"/>
      <c r="E14" s="149"/>
      <c r="F14" s="149"/>
      <c r="G14" s="149"/>
      <c r="Q14" s="39"/>
    </row>
    <row r="15" spans="1:18" s="77" customFormat="1">
      <c r="A15" s="150"/>
      <c r="B15" s="149"/>
      <c r="C15" s="149"/>
      <c r="D15" s="149"/>
      <c r="E15" s="149"/>
      <c r="F15" s="149"/>
      <c r="G15" s="149"/>
    </row>
    <row r="16" spans="1:18" s="77" customFormat="1"/>
    <row r="17" spans="17:17" s="77" customFormat="1"/>
    <row r="18" spans="17:17" s="77" customFormat="1"/>
    <row r="19" spans="17:17" s="77" customFormat="1"/>
    <row r="20" spans="17:17" s="77" customFormat="1"/>
    <row r="21" spans="17:17" s="77" customFormat="1"/>
    <row r="22" spans="17:17" s="77" customFormat="1"/>
    <row r="24" spans="17:17">
      <c r="Q24" s="148"/>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85" zoomScaleNormal="100" zoomScaleSheetLayoutView="85" workbookViewId="0">
      <selection activeCell="I37" sqref="I37"/>
    </sheetView>
  </sheetViews>
  <sheetFormatPr baseColWidth="10" defaultColWidth="11.42578125" defaultRowHeight="15"/>
  <cols>
    <col min="1" max="1" width="11.42578125" style="77"/>
    <col min="2" max="2" width="11.7109375" style="77" customWidth="1"/>
    <col min="3" max="6" width="11.42578125" style="77"/>
    <col min="7" max="7" width="35.7109375" style="77" customWidth="1"/>
    <col min="8" max="16384" width="11.42578125" style="77"/>
  </cols>
  <sheetData/>
  <pageMargins left="0.7" right="0.7" top="0.75" bottom="0.75" header="0.3" footer="0.3"/>
  <pageSetup scale="9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view="pageBreakPreview" zoomScale="85" zoomScaleNormal="100" zoomScaleSheetLayoutView="85" workbookViewId="0">
      <selection activeCell="P29" sqref="P29"/>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15:O27"/>
  <sheetViews>
    <sheetView showGridLines="0" view="pageBreakPreview" zoomScale="85" zoomScaleNormal="100" zoomScaleSheetLayoutView="85" workbookViewId="0">
      <selection activeCell="A42" sqref="A42"/>
    </sheetView>
  </sheetViews>
  <sheetFormatPr baseColWidth="10" defaultColWidth="11.42578125" defaultRowHeight="15"/>
  <cols>
    <col min="1" max="6" width="11.42578125" style="77"/>
    <col min="7" max="7" width="9.42578125" style="77" customWidth="1"/>
    <col min="8" max="16384" width="11.42578125" style="77"/>
  </cols>
  <sheetData>
    <row r="15" spans="15:15">
      <c r="O15" s="1096"/>
    </row>
    <row r="27" spans="15:15">
      <c r="O27"/>
    </row>
  </sheetData>
  <pageMargins left="0.70866141732283472" right="0.70866141732283472" top="0.74803149606299213" bottom="0.74803149606299213" header="0.31496062992125984" footer="0.31496062992125984"/>
  <pageSetup scale="83"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9"/>
  <sheetViews>
    <sheetView showGridLines="0" view="pageBreakPreview" zoomScale="85" zoomScaleNormal="100" zoomScaleSheetLayoutView="85" workbookViewId="0">
      <selection activeCell="C12" sqref="C12"/>
    </sheetView>
  </sheetViews>
  <sheetFormatPr baseColWidth="10" defaultColWidth="11.42578125" defaultRowHeight="15"/>
  <cols>
    <col min="1" max="1" width="15.5703125" style="978" customWidth="1"/>
    <col min="2" max="2" width="13.140625" style="978" customWidth="1"/>
    <col min="3" max="3" width="16.28515625" style="978" customWidth="1"/>
    <col min="4" max="4" width="16.85546875" style="978" customWidth="1"/>
    <col min="5" max="16384" width="11.42578125" style="978"/>
  </cols>
  <sheetData>
    <row r="1" spans="1:14" ht="58.5" customHeight="1">
      <c r="A1" s="2000"/>
      <c r="B1" s="2000"/>
      <c r="C1" s="2000"/>
      <c r="D1" s="2000"/>
      <c r="E1" s="2000"/>
      <c r="F1" s="2000"/>
      <c r="G1" s="2000"/>
      <c r="H1" s="2000"/>
      <c r="I1" s="2000"/>
      <c r="J1" s="2000"/>
      <c r="K1" s="2000"/>
      <c r="L1" s="2000"/>
    </row>
    <row r="2" spans="1:14" ht="4.5" customHeight="1">
      <c r="A2" s="2001"/>
      <c r="B2" s="2001"/>
      <c r="C2" s="2001"/>
      <c r="D2" s="2001"/>
      <c r="E2" s="2001"/>
    </row>
    <row r="3" spans="1:14" ht="36.75" customHeight="1">
      <c r="A3" s="1008" t="s">
        <v>47</v>
      </c>
      <c r="B3" s="1010" t="s">
        <v>669</v>
      </c>
      <c r="C3" s="1010" t="s">
        <v>670</v>
      </c>
      <c r="D3" s="1011" t="s">
        <v>671</v>
      </c>
    </row>
    <row r="4" spans="1:14" ht="17.25" customHeight="1">
      <c r="A4" s="1012" t="s">
        <v>672</v>
      </c>
      <c r="B4" s="829">
        <v>107</v>
      </c>
      <c r="C4" s="829">
        <v>16</v>
      </c>
      <c r="D4" s="1009">
        <f>C4/B4</f>
        <v>0.14953271028037382</v>
      </c>
    </row>
    <row r="5" spans="1:14" ht="17.25" customHeight="1">
      <c r="A5" s="1012">
        <v>2009</v>
      </c>
      <c r="B5" s="829">
        <v>1018</v>
      </c>
      <c r="C5" s="829">
        <v>659</v>
      </c>
      <c r="D5" s="1009">
        <f t="shared" ref="D5:D11" si="0">C5/B5</f>
        <v>0.6473477406679764</v>
      </c>
    </row>
    <row r="6" spans="1:14">
      <c r="A6" s="1012" t="s">
        <v>196</v>
      </c>
      <c r="B6" s="829">
        <v>1491</v>
      </c>
      <c r="C6" s="829">
        <v>785</v>
      </c>
      <c r="D6" s="1009">
        <f t="shared" si="0"/>
        <v>0.52649228705566731</v>
      </c>
    </row>
    <row r="7" spans="1:14">
      <c r="A7" s="1012" t="s">
        <v>234</v>
      </c>
      <c r="B7" s="829">
        <v>2085</v>
      </c>
      <c r="C7" s="829">
        <v>802</v>
      </c>
      <c r="D7" s="1009">
        <f t="shared" si="0"/>
        <v>0.38465227817745801</v>
      </c>
    </row>
    <row r="8" spans="1:14">
      <c r="A8" s="1012" t="s">
        <v>485</v>
      </c>
      <c r="B8" s="829">
        <v>2165</v>
      </c>
      <c r="C8" s="829">
        <v>1885</v>
      </c>
      <c r="D8" s="1009">
        <f t="shared" si="0"/>
        <v>0.87066974595842961</v>
      </c>
    </row>
    <row r="9" spans="1:14">
      <c r="A9" s="1012" t="s">
        <v>573</v>
      </c>
      <c r="B9" s="829">
        <v>1670</v>
      </c>
      <c r="C9" s="829">
        <v>2885</v>
      </c>
      <c r="D9" s="1009">
        <f t="shared" si="0"/>
        <v>1.7275449101796407</v>
      </c>
    </row>
    <row r="10" spans="1:14">
      <c r="A10" s="1012" t="s">
        <v>581</v>
      </c>
      <c r="B10" s="829">
        <v>1561</v>
      </c>
      <c r="C10" s="829">
        <v>1749</v>
      </c>
      <c r="D10" s="1009">
        <f t="shared" si="0"/>
        <v>1.1204356181934658</v>
      </c>
    </row>
    <row r="11" spans="1:14">
      <c r="A11" s="1012" t="s">
        <v>969</v>
      </c>
      <c r="B11" s="829">
        <v>817</v>
      </c>
      <c r="C11" s="829">
        <v>891</v>
      </c>
      <c r="D11" s="1009">
        <f t="shared" si="0"/>
        <v>1.0905752753977969</v>
      </c>
    </row>
    <row r="12" spans="1:14">
      <c r="A12" s="1008" t="s">
        <v>23</v>
      </c>
      <c r="B12" s="1013">
        <f>SUM(B4:B11)</f>
        <v>10914</v>
      </c>
      <c r="C12" s="1013">
        <f>SUM(C4:C11)</f>
        <v>9672</v>
      </c>
      <c r="D12" s="1014">
        <f>C12/B12</f>
        <v>0.88620120945574488</v>
      </c>
      <c r="M12" s="979"/>
      <c r="N12" s="979"/>
    </row>
    <row r="14" spans="1:14">
      <c r="M14" s="979"/>
    </row>
    <row r="15" spans="1:14">
      <c r="M15" s="979"/>
    </row>
    <row r="17" spans="14:19">
      <c r="N17" s="980"/>
      <c r="O17" s="980"/>
      <c r="P17" s="980"/>
    </row>
    <row r="18" spans="14:19">
      <c r="N18" s="980"/>
      <c r="R18" s="981"/>
      <c r="S18" s="982"/>
    </row>
    <row r="19" spans="14:19">
      <c r="N19" s="980"/>
      <c r="R19" s="981"/>
      <c r="S19" s="982"/>
    </row>
    <row r="20" spans="14:19">
      <c r="R20" s="981"/>
      <c r="S20" s="982"/>
    </row>
    <row r="21" spans="14:19">
      <c r="R21" s="981"/>
      <c r="S21" s="982"/>
    </row>
    <row r="22" spans="14:19">
      <c r="R22" s="981"/>
      <c r="S22" s="982"/>
    </row>
    <row r="23" spans="14:19">
      <c r="R23" s="981"/>
      <c r="S23" s="982"/>
    </row>
    <row r="24" spans="14:19">
      <c r="R24" s="981"/>
      <c r="S24" s="982"/>
    </row>
    <row r="25" spans="14:19">
      <c r="R25" s="981"/>
      <c r="S25" s="982"/>
    </row>
    <row r="26" spans="14:19">
      <c r="S26" s="982"/>
    </row>
    <row r="29" spans="14:19">
      <c r="O29" s="980"/>
    </row>
  </sheetData>
  <mergeCells count="2">
    <mergeCell ref="A1:L1"/>
    <mergeCell ref="A2:E2"/>
  </mergeCells>
  <pageMargins left="0.7" right="0.7" top="0.75" bottom="0.75" header="0.3" footer="0.3"/>
  <pageSetup scale="80"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9"/>
  <sheetViews>
    <sheetView showGridLines="0" view="pageBreakPreview" zoomScale="70" zoomScaleNormal="100" zoomScaleSheetLayoutView="70" workbookViewId="0">
      <selection activeCell="N5" sqref="N5:Q38"/>
    </sheetView>
  </sheetViews>
  <sheetFormatPr baseColWidth="10" defaultColWidth="11.42578125" defaultRowHeight="15"/>
  <cols>
    <col min="1" max="1" width="30" style="983" customWidth="1"/>
    <col min="2" max="2" width="14.5703125" style="983" customWidth="1"/>
    <col min="3" max="3" width="21.85546875" style="983" customWidth="1"/>
    <col min="4" max="4" width="21" style="983" customWidth="1"/>
    <col min="5" max="5" width="22.85546875" style="983" customWidth="1"/>
    <col min="6" max="11" width="11.42578125" style="983"/>
    <col min="12" max="12" width="18.85546875" style="983" customWidth="1"/>
    <col min="13" max="13" width="8.85546875" style="983" customWidth="1"/>
    <col min="14" max="16384" width="11.42578125" style="983"/>
  </cols>
  <sheetData>
    <row r="1" spans="1:15" ht="81" customHeight="1">
      <c r="A1" s="2002"/>
      <c r="B1" s="2002"/>
      <c r="C1" s="2002"/>
      <c r="D1" s="2002"/>
      <c r="E1" s="2002"/>
      <c r="F1" s="2002"/>
      <c r="G1" s="2002"/>
      <c r="H1" s="2002"/>
      <c r="I1" s="2002"/>
      <c r="J1" s="2002"/>
      <c r="K1" s="2002"/>
      <c r="L1" s="2002"/>
      <c r="M1" s="2002"/>
    </row>
    <row r="2" spans="1:15" ht="7.5" customHeight="1"/>
    <row r="3" spans="1:15" ht="21" customHeight="1">
      <c r="A3" s="989"/>
      <c r="B3" s="2003" t="s">
        <v>673</v>
      </c>
      <c r="C3" s="2004"/>
      <c r="D3" s="2004"/>
      <c r="E3" s="2005"/>
    </row>
    <row r="4" spans="1:15" ht="42">
      <c r="A4" s="990" t="s">
        <v>0</v>
      </c>
      <c r="B4" s="991" t="s">
        <v>525</v>
      </c>
      <c r="C4" s="992" t="s">
        <v>674</v>
      </c>
      <c r="D4" s="992" t="s">
        <v>675</v>
      </c>
      <c r="E4" s="990" t="s">
        <v>23</v>
      </c>
    </row>
    <row r="5" spans="1:15" ht="21">
      <c r="A5" s="993">
        <v>2009</v>
      </c>
      <c r="B5" s="1015">
        <v>81</v>
      </c>
      <c r="C5" s="1016">
        <v>13</v>
      </c>
      <c r="D5" s="1016">
        <v>0</v>
      </c>
      <c r="E5" s="1582">
        <f>SUM(B5:D5)</f>
        <v>94</v>
      </c>
    </row>
    <row r="6" spans="1:15" ht="21">
      <c r="A6" s="994">
        <v>2010</v>
      </c>
      <c r="B6" s="1017">
        <v>61</v>
      </c>
      <c r="C6" s="988">
        <v>25</v>
      </c>
      <c r="D6" s="988">
        <v>0</v>
      </c>
      <c r="E6" s="1583">
        <f t="shared" ref="E6:E12" si="0">SUM(B6:D6)</f>
        <v>86</v>
      </c>
    </row>
    <row r="7" spans="1:15" ht="21">
      <c r="A7" s="994">
        <v>2011</v>
      </c>
      <c r="B7" s="1017">
        <v>78</v>
      </c>
      <c r="C7" s="988">
        <v>45</v>
      </c>
      <c r="D7" s="988">
        <v>0</v>
      </c>
      <c r="E7" s="1583">
        <f t="shared" si="0"/>
        <v>123</v>
      </c>
      <c r="O7" s="1098"/>
    </row>
    <row r="8" spans="1:15" ht="21">
      <c r="A8" s="994">
        <v>2012</v>
      </c>
      <c r="B8" s="1017">
        <v>313</v>
      </c>
      <c r="C8" s="988">
        <v>186</v>
      </c>
      <c r="D8" s="988">
        <v>60</v>
      </c>
      <c r="E8" s="1583">
        <f t="shared" si="0"/>
        <v>559</v>
      </c>
      <c r="O8" s="1098"/>
    </row>
    <row r="9" spans="1:15" ht="21">
      <c r="A9" s="994">
        <v>2013</v>
      </c>
      <c r="B9" s="1017">
        <v>527</v>
      </c>
      <c r="C9" s="988">
        <v>218</v>
      </c>
      <c r="D9" s="988">
        <v>22</v>
      </c>
      <c r="E9" s="1583">
        <f t="shared" si="0"/>
        <v>767</v>
      </c>
      <c r="O9" s="963"/>
    </row>
    <row r="10" spans="1:15" ht="21">
      <c r="A10" s="994">
        <v>2014</v>
      </c>
      <c r="B10" s="1017">
        <v>287</v>
      </c>
      <c r="C10" s="988">
        <v>99</v>
      </c>
      <c r="D10" s="988">
        <v>2</v>
      </c>
      <c r="E10" s="1583">
        <f t="shared" si="0"/>
        <v>388</v>
      </c>
    </row>
    <row r="11" spans="1:15" ht="21">
      <c r="A11" s="994" t="s">
        <v>978</v>
      </c>
      <c r="B11" s="1017">
        <v>133</v>
      </c>
      <c r="C11" s="988">
        <v>41</v>
      </c>
      <c r="D11" s="988">
        <v>0</v>
      </c>
      <c r="E11" s="1583">
        <f t="shared" si="0"/>
        <v>174</v>
      </c>
      <c r="O11" s="1099"/>
    </row>
    <row r="12" spans="1:15" ht="21">
      <c r="A12" s="994" t="s">
        <v>676</v>
      </c>
      <c r="B12" s="1017">
        <v>5</v>
      </c>
      <c r="C12" s="988">
        <v>0</v>
      </c>
      <c r="D12" s="988">
        <v>1</v>
      </c>
      <c r="E12" s="1583">
        <f t="shared" si="0"/>
        <v>6</v>
      </c>
      <c r="O12" s="984"/>
    </row>
    <row r="13" spans="1:15" ht="21">
      <c r="A13" s="1602" t="s">
        <v>23</v>
      </c>
      <c r="B13" s="1603">
        <f>SUM(B5:B12)</f>
        <v>1485</v>
      </c>
      <c r="C13" s="1604">
        <f>SUM(C5:C12)</f>
        <v>627</v>
      </c>
      <c r="D13" s="1604">
        <f>SUM(D5:D12)</f>
        <v>85</v>
      </c>
      <c r="E13" s="1605">
        <f>SUM(E5:E12)</f>
        <v>2197</v>
      </c>
      <c r="N13" s="1097"/>
    </row>
    <row r="16" spans="1:15">
      <c r="O16" s="963"/>
    </row>
    <row r="17" spans="15:15">
      <c r="O17" s="963"/>
    </row>
    <row r="18" spans="15:15">
      <c r="O18" s="963"/>
    </row>
    <row r="19" spans="15:15">
      <c r="O19" s="963"/>
    </row>
  </sheetData>
  <mergeCells count="2">
    <mergeCell ref="A1:M1"/>
    <mergeCell ref="B3:E3"/>
  </mergeCells>
  <pageMargins left="0.70866141732283472" right="0.70866141732283472" top="0.74803149606299213" bottom="0.74803149606299213" header="0.31496062992125984" footer="0.31496062992125984"/>
  <pageSetup scale="5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5"/>
  <sheetViews>
    <sheetView showGridLines="0" view="pageBreakPreview" zoomScaleNormal="100" zoomScaleSheetLayoutView="100" workbookViewId="0">
      <selection activeCell="I5" sqref="I5"/>
    </sheetView>
  </sheetViews>
  <sheetFormatPr baseColWidth="10" defaultColWidth="11.42578125" defaultRowHeight="15"/>
  <cols>
    <col min="1" max="1" width="11.7109375" style="987" customWidth="1"/>
    <col min="2" max="2" width="20.140625" style="987" customWidth="1"/>
    <col min="3" max="8" width="14.28515625" style="987" customWidth="1"/>
    <col min="9" max="9" width="15.5703125" style="987" customWidth="1"/>
    <col min="10" max="10" width="13.85546875" style="987" customWidth="1"/>
    <col min="11" max="11" width="8.42578125" style="987" customWidth="1"/>
    <col min="12" max="12" width="0.28515625" style="987" customWidth="1"/>
    <col min="13" max="16384" width="11.42578125" style="987"/>
  </cols>
  <sheetData>
    <row r="1" spans="1:15" s="985" customFormat="1" ht="57.75" customHeight="1">
      <c r="A1" s="2006"/>
      <c r="B1" s="2007"/>
      <c r="C1" s="2007"/>
      <c r="D1" s="2007"/>
      <c r="E1" s="2007"/>
      <c r="F1" s="2007"/>
      <c r="G1" s="2007"/>
      <c r="H1" s="2007"/>
      <c r="I1" s="2007"/>
      <c r="J1" s="2007"/>
      <c r="K1" s="2007"/>
    </row>
    <row r="2" spans="1:15" s="985" customFormat="1" ht="3" customHeight="1"/>
    <row r="3" spans="1:15" s="986" customFormat="1" ht="29.25" customHeight="1">
      <c r="A3" s="995" t="s">
        <v>677</v>
      </c>
      <c r="B3" s="1001" t="s">
        <v>678</v>
      </c>
      <c r="C3" s="999">
        <v>2009</v>
      </c>
      <c r="D3" s="999">
        <v>2010</v>
      </c>
      <c r="E3" s="999">
        <v>2011</v>
      </c>
      <c r="F3" s="999">
        <v>2012</v>
      </c>
      <c r="G3" s="999">
        <v>2013</v>
      </c>
      <c r="H3" s="1000" t="s">
        <v>581</v>
      </c>
      <c r="I3" s="1000" t="s">
        <v>979</v>
      </c>
      <c r="J3" s="1000" t="s">
        <v>679</v>
      </c>
      <c r="K3" s="996" t="s">
        <v>23</v>
      </c>
      <c r="N3" s="1401"/>
    </row>
    <row r="4" spans="1:15">
      <c r="A4" s="2008" t="s">
        <v>735</v>
      </c>
      <c r="B4" s="1002" t="s">
        <v>680</v>
      </c>
      <c r="C4" s="998">
        <v>80</v>
      </c>
      <c r="D4" s="998">
        <v>53</v>
      </c>
      <c r="E4" s="998">
        <v>66</v>
      </c>
      <c r="F4" s="998">
        <v>271</v>
      </c>
      <c r="G4" s="998">
        <v>471</v>
      </c>
      <c r="H4" s="998">
        <v>273</v>
      </c>
      <c r="I4" s="998">
        <v>133</v>
      </c>
      <c r="J4" s="998">
        <v>5</v>
      </c>
      <c r="K4" s="1007">
        <f t="shared" ref="K4:K9" si="0">SUM(C4:J4)</f>
        <v>1352</v>
      </c>
    </row>
    <row r="5" spans="1:15">
      <c r="A5" s="2008"/>
      <c r="B5" s="1003" t="s">
        <v>681</v>
      </c>
      <c r="C5" s="998">
        <v>13</v>
      </c>
      <c r="D5" s="998">
        <v>25</v>
      </c>
      <c r="E5" s="998">
        <v>45</v>
      </c>
      <c r="F5" s="998">
        <v>180</v>
      </c>
      <c r="G5" s="998">
        <v>217</v>
      </c>
      <c r="H5" s="998">
        <v>99</v>
      </c>
      <c r="I5" s="998">
        <v>41</v>
      </c>
      <c r="J5" s="998">
        <v>0</v>
      </c>
      <c r="K5" s="1007">
        <f t="shared" si="0"/>
        <v>620</v>
      </c>
    </row>
    <row r="6" spans="1:15">
      <c r="A6" s="2008"/>
      <c r="B6" s="1004" t="s">
        <v>675</v>
      </c>
      <c r="C6" s="998">
        <v>0</v>
      </c>
      <c r="D6" s="998">
        <v>0</v>
      </c>
      <c r="E6" s="998">
        <v>0</v>
      </c>
      <c r="F6" s="998">
        <v>54</v>
      </c>
      <c r="G6" s="998">
        <v>19</v>
      </c>
      <c r="H6" s="998">
        <v>2</v>
      </c>
      <c r="I6" s="998">
        <v>0</v>
      </c>
      <c r="J6" s="998">
        <v>1</v>
      </c>
      <c r="K6" s="1007">
        <f t="shared" si="0"/>
        <v>76</v>
      </c>
    </row>
    <row r="7" spans="1:15">
      <c r="A7" s="2008" t="s">
        <v>682</v>
      </c>
      <c r="B7" s="1002" t="s">
        <v>680</v>
      </c>
      <c r="C7" s="998">
        <v>0</v>
      </c>
      <c r="D7" s="998">
        <v>8</v>
      </c>
      <c r="E7" s="998">
        <v>12</v>
      </c>
      <c r="F7" s="998">
        <v>43</v>
      </c>
      <c r="G7" s="998">
        <v>56</v>
      </c>
      <c r="H7" s="998">
        <v>14</v>
      </c>
      <c r="I7" s="998">
        <v>0</v>
      </c>
      <c r="J7" s="998">
        <v>0</v>
      </c>
      <c r="K7" s="1007">
        <f t="shared" si="0"/>
        <v>133</v>
      </c>
    </row>
    <row r="8" spans="1:15">
      <c r="A8" s="2008"/>
      <c r="B8" s="1003" t="s">
        <v>681</v>
      </c>
      <c r="C8" s="998">
        <v>0</v>
      </c>
      <c r="D8" s="998">
        <v>0</v>
      </c>
      <c r="E8" s="998">
        <v>0</v>
      </c>
      <c r="F8" s="998">
        <v>5</v>
      </c>
      <c r="G8" s="998">
        <v>2</v>
      </c>
      <c r="H8" s="998">
        <v>0</v>
      </c>
      <c r="I8" s="998">
        <v>0</v>
      </c>
      <c r="J8" s="998">
        <v>0</v>
      </c>
      <c r="K8" s="1007">
        <f t="shared" si="0"/>
        <v>7</v>
      </c>
    </row>
    <row r="9" spans="1:15">
      <c r="A9" s="2008"/>
      <c r="B9" s="1004" t="s">
        <v>675</v>
      </c>
      <c r="C9" s="998">
        <v>1</v>
      </c>
      <c r="D9" s="998">
        <v>0</v>
      </c>
      <c r="E9" s="998">
        <v>0</v>
      </c>
      <c r="F9" s="998">
        <v>6</v>
      </c>
      <c r="G9" s="998">
        <v>2</v>
      </c>
      <c r="H9" s="998">
        <v>0</v>
      </c>
      <c r="I9" s="998">
        <v>0</v>
      </c>
      <c r="J9" s="998">
        <v>0</v>
      </c>
      <c r="K9" s="1007">
        <f t="shared" si="0"/>
        <v>9</v>
      </c>
    </row>
    <row r="10" spans="1:15">
      <c r="A10" s="2008" t="s">
        <v>23</v>
      </c>
      <c r="B10" s="2009"/>
      <c r="C10" s="1005">
        <f>SUM(C4:C9)</f>
        <v>94</v>
      </c>
      <c r="D10" s="1006">
        <f t="shared" ref="D10:K10" si="1">SUM(D4:D9)</f>
        <v>86</v>
      </c>
      <c r="E10" s="1006">
        <f t="shared" si="1"/>
        <v>123</v>
      </c>
      <c r="F10" s="1006">
        <f t="shared" si="1"/>
        <v>559</v>
      </c>
      <c r="G10" s="1006">
        <f t="shared" si="1"/>
        <v>767</v>
      </c>
      <c r="H10" s="1006">
        <f t="shared" si="1"/>
        <v>388</v>
      </c>
      <c r="I10" s="1006">
        <f>SUM(I4:I9)</f>
        <v>174</v>
      </c>
      <c r="J10" s="1006">
        <f t="shared" si="1"/>
        <v>6</v>
      </c>
      <c r="K10" s="997">
        <f t="shared" si="1"/>
        <v>2197</v>
      </c>
      <c r="L10" s="77"/>
      <c r="N10" s="77"/>
      <c r="O10" s="77"/>
    </row>
    <row r="11" spans="1:15">
      <c r="A11" s="987" t="s">
        <v>683</v>
      </c>
      <c r="L11" s="77"/>
      <c r="M11" s="77"/>
      <c r="N11" s="77"/>
      <c r="O11" s="77"/>
    </row>
    <row r="12" spans="1:15">
      <c r="L12" s="77"/>
      <c r="M12" s="77"/>
      <c r="N12" s="77"/>
      <c r="O12" s="77"/>
    </row>
    <row r="13" spans="1:15">
      <c r="L13" s="77"/>
      <c r="M13" s="77"/>
      <c r="N13" s="77"/>
      <c r="O13" s="77"/>
    </row>
    <row r="14" spans="1:15">
      <c r="L14" s="77"/>
      <c r="M14" s="77"/>
      <c r="N14" s="77"/>
      <c r="O14" s="77"/>
    </row>
    <row r="15" spans="1:15">
      <c r="L15" s="77"/>
      <c r="M15" s="77"/>
      <c r="N15" s="77"/>
      <c r="O15" s="77"/>
    </row>
  </sheetData>
  <mergeCells count="4">
    <mergeCell ref="A1:K1"/>
    <mergeCell ref="A4:A6"/>
    <mergeCell ref="A7:A9"/>
    <mergeCell ref="A10:B10"/>
  </mergeCells>
  <pageMargins left="0.7" right="0.7" top="0.75" bottom="0.75" header="0.3" footer="0.3"/>
  <pageSetup scale="77"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115" zoomScaleNormal="100" zoomScaleSheetLayoutView="115" workbookViewId="0">
      <selection activeCell="G24" sqref="G24"/>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47"/>
  <sheetViews>
    <sheetView showGridLines="0" view="pageBreakPreview" topLeftCell="A2" zoomScale="85" zoomScaleNormal="90" zoomScaleSheetLayoutView="85" workbookViewId="0">
      <selection activeCell="A4" sqref="A4:A14"/>
    </sheetView>
  </sheetViews>
  <sheetFormatPr baseColWidth="10" defaultColWidth="11.42578125" defaultRowHeight="15"/>
  <cols>
    <col min="1" max="1" width="32.42578125" style="77" customWidth="1"/>
    <col min="2" max="3" width="11" style="77" hidden="1" customWidth="1"/>
    <col min="4" max="4" width="10.7109375" style="77" hidden="1" customWidth="1"/>
    <col min="5" max="5" width="13.140625" style="77" customWidth="1"/>
    <col min="6" max="6" width="10" style="77" customWidth="1"/>
    <col min="7" max="7" width="10.42578125" style="77" customWidth="1"/>
    <col min="8" max="8" width="10" style="77" customWidth="1"/>
    <col min="9" max="10" width="10.42578125" style="77" customWidth="1"/>
    <col min="11" max="11" width="10.7109375" style="77" customWidth="1"/>
    <col min="12" max="12" width="12.42578125" style="77" customWidth="1"/>
    <col min="13" max="13" width="11.42578125" style="77"/>
    <col min="14" max="14" width="12.42578125" style="77" customWidth="1"/>
    <col min="15" max="16384" width="11.42578125" style="77"/>
  </cols>
  <sheetData>
    <row r="1" spans="1:16" ht="68.25" customHeight="1">
      <c r="A1" s="2010"/>
      <c r="B1" s="2010"/>
      <c r="C1" s="2010"/>
      <c r="D1" s="2010"/>
      <c r="E1" s="2010"/>
      <c r="F1" s="2010"/>
      <c r="G1" s="2010"/>
      <c r="H1" s="2010"/>
      <c r="I1" s="2010"/>
      <c r="J1" s="2010"/>
      <c r="K1" s="2010"/>
      <c r="L1" s="2010"/>
      <c r="M1" s="2010"/>
      <c r="N1" s="2010"/>
      <c r="O1" s="2010"/>
      <c r="P1" s="2010"/>
    </row>
    <row r="2" spans="1:16" s="21" customFormat="1" ht="9" customHeight="1">
      <c r="A2" s="2011"/>
      <c r="B2" s="2011"/>
      <c r="C2" s="2011"/>
      <c r="D2" s="2011"/>
      <c r="E2" s="2011"/>
      <c r="F2" s="2011"/>
      <c r="G2" s="2011"/>
      <c r="H2" s="2011"/>
      <c r="I2" s="2011"/>
      <c r="J2" s="2011"/>
      <c r="K2" s="2011"/>
      <c r="L2" s="2011"/>
      <c r="M2" s="2011"/>
      <c r="N2" s="2011"/>
      <c r="O2" s="2011"/>
      <c r="P2" s="2011"/>
    </row>
    <row r="3" spans="1:16" ht="21" customHeight="1">
      <c r="A3" s="643" t="s">
        <v>11</v>
      </c>
      <c r="B3" s="830" t="s">
        <v>452</v>
      </c>
      <c r="C3" s="830" t="s">
        <v>4</v>
      </c>
      <c r="D3" s="830" t="s">
        <v>5</v>
      </c>
      <c r="E3" s="830" t="s">
        <v>262</v>
      </c>
      <c r="F3" s="830" t="s">
        <v>261</v>
      </c>
      <c r="G3" s="830" t="s">
        <v>177</v>
      </c>
      <c r="H3" s="830" t="s">
        <v>232</v>
      </c>
      <c r="I3" s="830" t="s">
        <v>10</v>
      </c>
      <c r="J3" s="830" t="s">
        <v>196</v>
      </c>
      <c r="K3" s="830" t="s">
        <v>234</v>
      </c>
      <c r="L3" s="830" t="s">
        <v>485</v>
      </c>
      <c r="M3" s="830" t="s">
        <v>573</v>
      </c>
      <c r="N3" s="831" t="s">
        <v>581</v>
      </c>
    </row>
    <row r="4" spans="1:16">
      <c r="A4" s="838" t="s">
        <v>12</v>
      </c>
      <c r="B4" s="828">
        <v>54394</v>
      </c>
      <c r="C4" s="828">
        <v>49967</v>
      </c>
      <c r="D4" s="829">
        <v>65316</v>
      </c>
      <c r="E4" s="832">
        <v>59055.5</v>
      </c>
      <c r="F4" s="832">
        <v>57661</v>
      </c>
      <c r="G4" s="832">
        <v>63198</v>
      </c>
      <c r="H4" s="832">
        <v>55832</v>
      </c>
      <c r="I4" s="832">
        <v>62722</v>
      </c>
      <c r="J4" s="832">
        <v>56906</v>
      </c>
      <c r="K4" s="832">
        <v>73730</v>
      </c>
      <c r="L4" s="832">
        <v>65532</v>
      </c>
      <c r="M4" s="832">
        <v>74396</v>
      </c>
      <c r="N4" s="833">
        <v>94092</v>
      </c>
    </row>
    <row r="5" spans="1:16" ht="16.5" customHeight="1">
      <c r="A5" s="838" t="s">
        <v>13</v>
      </c>
      <c r="B5" s="828">
        <v>5332</v>
      </c>
      <c r="C5" s="828">
        <v>6224</v>
      </c>
      <c r="D5" s="829">
        <v>4729.5</v>
      </c>
      <c r="E5" s="832">
        <v>5240.5</v>
      </c>
      <c r="F5" s="832">
        <v>3875</v>
      </c>
      <c r="G5" s="832">
        <v>5460.5</v>
      </c>
      <c r="H5" s="832">
        <v>7849</v>
      </c>
      <c r="I5" s="832">
        <v>7092</v>
      </c>
      <c r="J5" s="832">
        <v>9592</v>
      </c>
      <c r="K5" s="832">
        <v>15545</v>
      </c>
      <c r="L5" s="832">
        <v>12905</v>
      </c>
      <c r="M5" s="832">
        <v>9756</v>
      </c>
      <c r="N5" s="833">
        <v>5755</v>
      </c>
    </row>
    <row r="6" spans="1:16">
      <c r="A6" s="838" t="s">
        <v>14</v>
      </c>
      <c r="B6" s="828">
        <v>335875</v>
      </c>
      <c r="C6" s="828">
        <v>347392</v>
      </c>
      <c r="D6" s="829">
        <v>380576</v>
      </c>
      <c r="E6" s="832">
        <v>356009</v>
      </c>
      <c r="F6" s="832">
        <v>367230.5</v>
      </c>
      <c r="G6" s="832">
        <v>381709.5</v>
      </c>
      <c r="H6" s="832">
        <v>322067</v>
      </c>
      <c r="I6" s="832">
        <v>267702</v>
      </c>
      <c r="J6" s="832">
        <v>281199</v>
      </c>
      <c r="K6" s="832">
        <v>277208</v>
      </c>
      <c r="L6" s="832">
        <v>292404</v>
      </c>
      <c r="M6" s="832">
        <v>292394</v>
      </c>
      <c r="N6" s="833">
        <v>288770</v>
      </c>
    </row>
    <row r="7" spans="1:16">
      <c r="A7" s="838" t="s">
        <v>15</v>
      </c>
      <c r="B7" s="828">
        <v>20857</v>
      </c>
      <c r="C7" s="828">
        <v>26411</v>
      </c>
      <c r="D7" s="829">
        <v>26734.5</v>
      </c>
      <c r="E7" s="832">
        <v>26193.5</v>
      </c>
      <c r="F7" s="832">
        <v>26353.5</v>
      </c>
      <c r="G7" s="832">
        <v>30830</v>
      </c>
      <c r="H7" s="832">
        <v>31582</v>
      </c>
      <c r="I7" s="832">
        <v>30520</v>
      </c>
      <c r="J7" s="832">
        <v>37741</v>
      </c>
      <c r="K7" s="832">
        <v>31145</v>
      </c>
      <c r="L7" s="832">
        <v>43665</v>
      </c>
      <c r="M7" s="832">
        <v>35190</v>
      </c>
      <c r="N7" s="833">
        <v>34478</v>
      </c>
    </row>
    <row r="8" spans="1:16">
      <c r="A8" s="838" t="s">
        <v>16</v>
      </c>
      <c r="B8" s="828">
        <v>42579</v>
      </c>
      <c r="C8" s="828">
        <v>45173</v>
      </c>
      <c r="D8" s="829">
        <v>53564.5</v>
      </c>
      <c r="E8" s="832">
        <v>31601</v>
      </c>
      <c r="F8" s="832">
        <v>43507.5</v>
      </c>
      <c r="G8" s="832">
        <v>45705</v>
      </c>
      <c r="H8" s="832">
        <v>51584</v>
      </c>
      <c r="I8" s="832">
        <v>34519</v>
      </c>
      <c r="J8" s="832">
        <v>40257</v>
      </c>
      <c r="K8" s="832">
        <v>35938</v>
      </c>
      <c r="L8" s="832">
        <v>40323</v>
      </c>
      <c r="M8" s="832">
        <v>27474</v>
      </c>
      <c r="N8" s="833">
        <v>42681</v>
      </c>
    </row>
    <row r="9" spans="1:16">
      <c r="A9" s="838" t="s">
        <v>17</v>
      </c>
      <c r="B9" s="828">
        <v>218947</v>
      </c>
      <c r="C9" s="828">
        <v>198915</v>
      </c>
      <c r="D9" s="829">
        <v>198724</v>
      </c>
      <c r="E9" s="832">
        <v>211992.5</v>
      </c>
      <c r="F9" s="832">
        <v>234505</v>
      </c>
      <c r="G9" s="832">
        <v>229492.5</v>
      </c>
      <c r="H9" s="832">
        <v>238189</v>
      </c>
      <c r="I9" s="832">
        <v>241768</v>
      </c>
      <c r="J9" s="832">
        <v>251447</v>
      </c>
      <c r="K9" s="832">
        <v>254030</v>
      </c>
      <c r="L9" s="832">
        <v>236447</v>
      </c>
      <c r="M9" s="834">
        <v>257264</v>
      </c>
      <c r="N9" s="833">
        <v>291369</v>
      </c>
    </row>
    <row r="10" spans="1:16">
      <c r="A10" s="838" t="s">
        <v>18</v>
      </c>
      <c r="B10" s="828">
        <v>74471</v>
      </c>
      <c r="C10" s="828">
        <v>94191</v>
      </c>
      <c r="D10" s="829">
        <v>93758.5</v>
      </c>
      <c r="E10" s="832">
        <v>86665</v>
      </c>
      <c r="F10" s="832">
        <v>91077</v>
      </c>
      <c r="G10" s="832">
        <v>105664.5</v>
      </c>
      <c r="H10" s="832">
        <v>112403</v>
      </c>
      <c r="I10" s="832">
        <v>101997</v>
      </c>
      <c r="J10" s="832">
        <v>110062</v>
      </c>
      <c r="K10" s="832">
        <v>117394</v>
      </c>
      <c r="L10" s="832">
        <v>123299</v>
      </c>
      <c r="M10" s="834">
        <v>120700</v>
      </c>
      <c r="N10" s="833">
        <v>134768</v>
      </c>
    </row>
    <row r="11" spans="1:16">
      <c r="A11" s="838" t="s">
        <v>19</v>
      </c>
      <c r="B11" s="828">
        <v>68639</v>
      </c>
      <c r="C11" s="828">
        <v>69119</v>
      </c>
      <c r="D11" s="829">
        <v>69605.5</v>
      </c>
      <c r="E11" s="832">
        <v>64356.5</v>
      </c>
      <c r="F11" s="832">
        <v>66871.5</v>
      </c>
      <c r="G11" s="832">
        <v>68018.5</v>
      </c>
      <c r="H11" s="832">
        <v>73736</v>
      </c>
      <c r="I11" s="832">
        <v>74994</v>
      </c>
      <c r="J11" s="832">
        <v>70890</v>
      </c>
      <c r="K11" s="832">
        <v>67549</v>
      </c>
      <c r="L11" s="832">
        <v>71306</v>
      </c>
      <c r="M11" s="834">
        <v>90119</v>
      </c>
      <c r="N11" s="833">
        <v>92028</v>
      </c>
    </row>
    <row r="12" spans="1:16">
      <c r="A12" s="838" t="s">
        <v>20</v>
      </c>
      <c r="B12" s="828">
        <v>48965</v>
      </c>
      <c r="C12" s="828">
        <v>51554</v>
      </c>
      <c r="D12" s="829">
        <v>44203.5</v>
      </c>
      <c r="E12" s="832">
        <v>46757.5</v>
      </c>
      <c r="F12" s="832">
        <v>49397</v>
      </c>
      <c r="G12" s="832">
        <v>55326</v>
      </c>
      <c r="H12" s="832">
        <v>55155</v>
      </c>
      <c r="I12" s="832">
        <v>67119</v>
      </c>
      <c r="J12" s="832">
        <v>65137</v>
      </c>
      <c r="K12" s="832">
        <v>72016</v>
      </c>
      <c r="L12" s="832">
        <v>82080</v>
      </c>
      <c r="M12" s="834">
        <v>79468</v>
      </c>
      <c r="N12" s="833">
        <v>83517</v>
      </c>
    </row>
    <row r="13" spans="1:16">
      <c r="A13" s="838" t="s">
        <v>21</v>
      </c>
      <c r="B13" s="828">
        <v>154503</v>
      </c>
      <c r="C13" s="828">
        <v>137736</v>
      </c>
      <c r="D13" s="829">
        <v>140736.5</v>
      </c>
      <c r="E13" s="832">
        <v>147544.5</v>
      </c>
      <c r="F13" s="832">
        <v>148907.5</v>
      </c>
      <c r="G13" s="832">
        <v>152563.5</v>
      </c>
      <c r="H13" s="832">
        <v>156837</v>
      </c>
      <c r="I13" s="832">
        <v>164689</v>
      </c>
      <c r="J13" s="832">
        <v>184575</v>
      </c>
      <c r="K13" s="832">
        <v>189387</v>
      </c>
      <c r="L13" s="832">
        <v>194986</v>
      </c>
      <c r="M13" s="834">
        <v>194720</v>
      </c>
      <c r="N13" s="833">
        <v>191598</v>
      </c>
    </row>
    <row r="14" spans="1:16">
      <c r="A14" s="838" t="s">
        <v>22</v>
      </c>
      <c r="B14" s="828">
        <v>368304</v>
      </c>
      <c r="C14" s="828">
        <v>393542</v>
      </c>
      <c r="D14" s="829">
        <v>403905</v>
      </c>
      <c r="E14" s="832">
        <v>401844.5</v>
      </c>
      <c r="F14" s="832">
        <v>416197</v>
      </c>
      <c r="G14" s="832">
        <v>433943.5</v>
      </c>
      <c r="H14" s="832">
        <v>460813</v>
      </c>
      <c r="I14" s="832">
        <v>507872</v>
      </c>
      <c r="J14" s="832">
        <v>523323</v>
      </c>
      <c r="K14" s="832">
        <v>552274</v>
      </c>
      <c r="L14" s="832">
        <v>553281</v>
      </c>
      <c r="M14" s="834">
        <v>588320</v>
      </c>
      <c r="N14" s="833">
        <v>606440</v>
      </c>
    </row>
    <row r="15" spans="1:16" ht="17.25" customHeight="1">
      <c r="A15" s="643" t="s">
        <v>23</v>
      </c>
      <c r="B15" s="835">
        <f>SUM(B4:B14)</f>
        <v>1392866</v>
      </c>
      <c r="C15" s="835">
        <f>SUM(C4:C14)</f>
        <v>1420224</v>
      </c>
      <c r="D15" s="835">
        <f t="shared" ref="D15:N15" si="0">SUM(D4:D14)</f>
        <v>1481853.5</v>
      </c>
      <c r="E15" s="836">
        <f t="shared" si="0"/>
        <v>1437260</v>
      </c>
      <c r="F15" s="836">
        <f t="shared" si="0"/>
        <v>1505582.5</v>
      </c>
      <c r="G15" s="836">
        <f t="shared" si="0"/>
        <v>1571911.5</v>
      </c>
      <c r="H15" s="836">
        <f t="shared" si="0"/>
        <v>1566047</v>
      </c>
      <c r="I15" s="836">
        <f t="shared" si="0"/>
        <v>1560994</v>
      </c>
      <c r="J15" s="836">
        <f t="shared" si="0"/>
        <v>1631129</v>
      </c>
      <c r="K15" s="836">
        <f t="shared" si="0"/>
        <v>1686216</v>
      </c>
      <c r="L15" s="836">
        <f t="shared" si="0"/>
        <v>1716228</v>
      </c>
      <c r="M15" s="836">
        <f t="shared" si="0"/>
        <v>1769801</v>
      </c>
      <c r="N15" s="837">
        <f t="shared" si="0"/>
        <v>1865496</v>
      </c>
    </row>
    <row r="16" spans="1:16" s="94" customFormat="1" ht="13.5" customHeight="1">
      <c r="A16" s="155"/>
      <c r="B16" s="79"/>
      <c r="C16" s="79"/>
      <c r="D16" s="79"/>
      <c r="E16" s="95"/>
      <c r="F16" s="95"/>
      <c r="G16" s="95"/>
      <c r="H16" s="95"/>
      <c r="I16" s="95"/>
      <c r="J16" s="95"/>
      <c r="K16" s="95"/>
      <c r="L16" s="95"/>
    </row>
    <row r="17" spans="1:12" ht="9.75" customHeight="1">
      <c r="A17" s="30"/>
      <c r="B17" s="30"/>
      <c r="C17" s="30"/>
      <c r="D17" s="30"/>
      <c r="E17" s="96"/>
      <c r="F17" s="96"/>
      <c r="G17" s="96"/>
      <c r="H17" s="96"/>
      <c r="I17" s="96"/>
      <c r="J17" s="96"/>
      <c r="K17" s="96"/>
      <c r="L17" s="96"/>
    </row>
    <row r="18" spans="1:12">
      <c r="A18" s="96"/>
      <c r="B18" s="96"/>
      <c r="C18" s="96"/>
      <c r="D18" s="96"/>
      <c r="E18" s="96"/>
      <c r="F18" s="96"/>
      <c r="G18" s="96"/>
      <c r="H18" s="96"/>
      <c r="I18" s="96"/>
      <c r="J18" s="96"/>
      <c r="K18" s="96"/>
      <c r="L18" s="96"/>
    </row>
    <row r="19" spans="1:12">
      <c r="A19" s="96"/>
      <c r="B19" s="96"/>
      <c r="C19" s="96"/>
      <c r="D19" s="96"/>
      <c r="E19" s="96"/>
      <c r="F19" s="96"/>
      <c r="G19" s="96"/>
      <c r="H19" s="96"/>
      <c r="I19" s="96"/>
      <c r="J19" s="96"/>
      <c r="K19" s="96"/>
      <c r="L19" s="96"/>
    </row>
    <row r="20" spans="1:12">
      <c r="A20" s="96"/>
      <c r="B20" s="96"/>
      <c r="C20" s="96"/>
      <c r="D20" s="96"/>
      <c r="E20" s="96"/>
      <c r="F20" s="96"/>
      <c r="G20" s="96"/>
      <c r="H20" s="96"/>
      <c r="I20" s="96"/>
      <c r="J20" s="96"/>
      <c r="K20" s="96"/>
      <c r="L20" s="96"/>
    </row>
    <row r="21" spans="1:12">
      <c r="A21" s="96"/>
      <c r="B21" s="96"/>
      <c r="C21" s="96"/>
      <c r="D21" s="96"/>
      <c r="E21" s="96"/>
      <c r="F21" s="96"/>
      <c r="G21" s="96"/>
      <c r="H21" s="96"/>
      <c r="I21" s="96"/>
      <c r="J21" s="96"/>
      <c r="K21" s="96"/>
      <c r="L21" s="96"/>
    </row>
    <row r="22" spans="1:12">
      <c r="A22" s="96"/>
      <c r="B22" s="96"/>
      <c r="C22" s="96"/>
      <c r="D22" s="96"/>
      <c r="E22" s="96"/>
      <c r="F22" s="96"/>
      <c r="G22" s="96"/>
      <c r="H22" s="96"/>
      <c r="I22" s="96"/>
      <c r="J22" s="96"/>
      <c r="K22" s="96"/>
      <c r="L22" s="96"/>
    </row>
    <row r="23" spans="1:12">
      <c r="A23" s="96"/>
      <c r="B23" s="96"/>
      <c r="C23" s="96"/>
      <c r="D23" s="96"/>
      <c r="E23" s="96"/>
      <c r="F23" s="96"/>
      <c r="G23" s="96"/>
      <c r="H23" s="96"/>
      <c r="I23" s="96"/>
      <c r="J23" s="96"/>
      <c r="K23" s="96"/>
      <c r="L23" s="96"/>
    </row>
    <row r="24" spans="1:12">
      <c r="A24" s="96"/>
      <c r="B24" s="96"/>
      <c r="C24" s="96"/>
      <c r="D24" s="96"/>
      <c r="E24" s="96"/>
      <c r="F24" s="96"/>
      <c r="G24" s="96"/>
      <c r="H24" s="96"/>
      <c r="I24" s="96"/>
      <c r="J24" s="96"/>
      <c r="K24" s="96"/>
      <c r="L24" s="96"/>
    </row>
    <row r="25" spans="1:12">
      <c r="A25" s="96"/>
      <c r="B25" s="96"/>
      <c r="C25" s="96"/>
      <c r="D25" s="96"/>
      <c r="E25" s="96"/>
      <c r="F25" s="96"/>
      <c r="G25" s="96"/>
      <c r="H25" s="96"/>
      <c r="I25" s="96"/>
      <c r="J25" s="96"/>
      <c r="K25" s="96"/>
      <c r="L25" s="96"/>
    </row>
    <row r="26" spans="1:12">
      <c r="A26" s="96"/>
      <c r="B26" s="96"/>
      <c r="C26" s="96"/>
      <c r="D26" s="96"/>
      <c r="E26" s="96"/>
      <c r="F26" s="96"/>
      <c r="G26" s="96"/>
      <c r="H26" s="96"/>
      <c r="I26" s="96"/>
      <c r="J26" s="96"/>
      <c r="K26" s="96"/>
      <c r="L26" s="96"/>
    </row>
    <row r="27" spans="1:12">
      <c r="A27" s="96"/>
      <c r="B27" s="96"/>
      <c r="C27" s="96"/>
      <c r="D27" s="96"/>
      <c r="E27" s="96"/>
      <c r="F27" s="96"/>
      <c r="G27" s="96"/>
      <c r="H27" s="96"/>
      <c r="I27" s="96"/>
      <c r="J27" s="96"/>
      <c r="K27" s="96"/>
      <c r="L27" s="96"/>
    </row>
    <row r="28" spans="1:12">
      <c r="A28" s="96"/>
      <c r="B28" s="96"/>
      <c r="C28" s="96"/>
      <c r="D28" s="96"/>
      <c r="E28" s="96"/>
      <c r="F28" s="96"/>
      <c r="G28" s="96"/>
      <c r="H28" s="96"/>
      <c r="I28" s="96"/>
      <c r="J28" s="96"/>
      <c r="K28" s="96"/>
      <c r="L28" s="96"/>
    </row>
    <row r="29" spans="1:12">
      <c r="A29" s="96"/>
      <c r="B29" s="96"/>
      <c r="C29" s="96"/>
      <c r="D29" s="96"/>
      <c r="E29" s="96"/>
      <c r="F29" s="96"/>
      <c r="G29" s="96"/>
      <c r="H29" s="96"/>
      <c r="I29" s="96"/>
      <c r="J29" s="96"/>
      <c r="K29" s="96"/>
      <c r="L29" s="96"/>
    </row>
    <row r="30" spans="1:12">
      <c r="A30" s="96"/>
      <c r="B30" s="96"/>
      <c r="C30" s="96"/>
      <c r="D30" s="96"/>
      <c r="E30" s="96"/>
      <c r="F30" s="96"/>
      <c r="G30" s="96"/>
      <c r="H30" s="96"/>
      <c r="I30" s="96"/>
      <c r="J30" s="96"/>
      <c r="K30" s="96"/>
      <c r="L30" s="96"/>
    </row>
    <row r="31" spans="1:12">
      <c r="A31" s="96"/>
      <c r="B31" s="96"/>
      <c r="C31" s="96"/>
      <c r="D31" s="96"/>
      <c r="E31" s="96"/>
      <c r="F31" s="96"/>
      <c r="G31" s="96"/>
      <c r="H31" s="96"/>
      <c r="I31" s="96"/>
      <c r="J31" s="96"/>
      <c r="K31" s="96"/>
      <c r="L31" s="96"/>
    </row>
    <row r="32" spans="1:12">
      <c r="A32" s="96"/>
      <c r="B32" s="96"/>
      <c r="C32" s="96"/>
      <c r="D32" s="96"/>
      <c r="E32" s="96"/>
      <c r="F32" s="96"/>
      <c r="G32" s="96"/>
      <c r="H32" s="96"/>
      <c r="I32" s="96"/>
      <c r="J32" s="96"/>
      <c r="K32" s="96"/>
      <c r="L32" s="96"/>
    </row>
    <row r="33" spans="1:12">
      <c r="A33" s="96"/>
      <c r="B33" s="96"/>
      <c r="C33" s="96"/>
      <c r="D33" s="96"/>
      <c r="E33" s="96"/>
      <c r="F33" s="96"/>
      <c r="G33" s="96"/>
      <c r="H33" s="96"/>
      <c r="I33" s="96"/>
      <c r="J33" s="96"/>
      <c r="K33" s="96"/>
      <c r="L33" s="96"/>
    </row>
    <row r="34" spans="1:12">
      <c r="A34" s="96"/>
      <c r="B34" s="96"/>
      <c r="C34" s="96"/>
      <c r="D34" s="96"/>
      <c r="E34" s="96"/>
      <c r="F34" s="96"/>
      <c r="G34" s="96"/>
      <c r="H34" s="96"/>
      <c r="I34" s="96"/>
      <c r="J34" s="96"/>
      <c r="K34" s="96"/>
      <c r="L34" s="96"/>
    </row>
    <row r="35" spans="1:12">
      <c r="A35" s="96"/>
      <c r="B35" s="96"/>
      <c r="C35" s="96"/>
      <c r="D35" s="96"/>
      <c r="E35" s="96"/>
      <c r="F35" s="96"/>
      <c r="G35" s="96"/>
      <c r="H35" s="96"/>
      <c r="I35" s="96"/>
      <c r="J35" s="96"/>
      <c r="K35" s="96"/>
      <c r="L35" s="96"/>
    </row>
    <row r="36" spans="1:12">
      <c r="A36" s="96"/>
      <c r="B36" s="96"/>
      <c r="C36" s="96"/>
      <c r="D36" s="96"/>
      <c r="E36" s="96"/>
      <c r="F36" s="96"/>
      <c r="G36" s="96"/>
      <c r="H36" s="96"/>
      <c r="I36" s="96"/>
      <c r="J36" s="96"/>
      <c r="K36" s="96"/>
      <c r="L36" s="96"/>
    </row>
    <row r="37" spans="1:12">
      <c r="A37" s="96"/>
      <c r="B37" s="96"/>
      <c r="C37" s="96"/>
      <c r="D37" s="96"/>
      <c r="E37" s="96"/>
      <c r="F37" s="96"/>
      <c r="G37" s="96"/>
      <c r="H37" s="96"/>
      <c r="I37" s="96"/>
      <c r="J37" s="96"/>
      <c r="K37" s="96"/>
      <c r="L37" s="96"/>
    </row>
    <row r="38" spans="1:12">
      <c r="A38" s="96"/>
      <c r="B38" s="96"/>
      <c r="C38" s="96"/>
      <c r="D38" s="96"/>
      <c r="E38" s="96"/>
      <c r="F38" s="96"/>
      <c r="G38" s="96"/>
      <c r="H38" s="96"/>
      <c r="I38" s="96"/>
      <c r="J38" s="96"/>
      <c r="K38" s="96"/>
      <c r="L38" s="96"/>
    </row>
    <row r="39" spans="1:12">
      <c r="A39" s="96"/>
      <c r="B39" s="96"/>
      <c r="C39" s="96"/>
      <c r="D39" s="96"/>
      <c r="E39" s="96"/>
      <c r="F39" s="96"/>
      <c r="G39" s="96"/>
      <c r="H39" s="96"/>
      <c r="I39" s="96"/>
      <c r="J39" s="96"/>
      <c r="K39" s="96"/>
      <c r="L39" s="96"/>
    </row>
    <row r="40" spans="1:12">
      <c r="A40" s="96"/>
      <c r="B40" s="96"/>
      <c r="C40" s="96"/>
      <c r="D40" s="96"/>
      <c r="E40" s="96"/>
      <c r="F40" s="96"/>
      <c r="G40" s="96"/>
      <c r="H40" s="96"/>
      <c r="I40" s="96"/>
      <c r="J40" s="96"/>
      <c r="K40" s="96"/>
      <c r="L40" s="96"/>
    </row>
    <row r="41" spans="1:12">
      <c r="A41" s="96"/>
      <c r="B41" s="96"/>
      <c r="C41" s="96"/>
      <c r="D41" s="96"/>
      <c r="E41" s="96"/>
      <c r="F41" s="96"/>
      <c r="G41" s="96"/>
      <c r="H41" s="96"/>
      <c r="I41" s="96"/>
      <c r="J41" s="96"/>
      <c r="K41" s="96"/>
      <c r="L41" s="96"/>
    </row>
    <row r="42" spans="1:12">
      <c r="A42" s="96"/>
      <c r="B42" s="96"/>
      <c r="C42" s="96"/>
      <c r="D42" s="96"/>
      <c r="E42" s="96"/>
      <c r="F42" s="96"/>
      <c r="G42" s="96"/>
      <c r="H42" s="96"/>
      <c r="I42" s="96"/>
      <c r="J42" s="96"/>
      <c r="K42" s="96"/>
      <c r="L42" s="96"/>
    </row>
    <row r="43" spans="1:12">
      <c r="A43" s="96"/>
      <c r="B43" s="96"/>
      <c r="C43" s="96"/>
      <c r="D43" s="96"/>
      <c r="E43" s="96"/>
      <c r="F43" s="96"/>
      <c r="G43" s="96"/>
      <c r="H43" s="96"/>
      <c r="I43" s="96"/>
      <c r="J43" s="96"/>
      <c r="K43" s="96"/>
      <c r="L43" s="96"/>
    </row>
    <row r="44" spans="1:12">
      <c r="A44" s="96"/>
      <c r="B44" s="96"/>
      <c r="C44" s="96"/>
      <c r="D44" s="96"/>
      <c r="E44" s="96"/>
      <c r="F44" s="96"/>
      <c r="G44" s="96"/>
      <c r="H44" s="96"/>
      <c r="I44" s="96"/>
      <c r="J44" s="96"/>
      <c r="K44" s="96"/>
      <c r="L44" s="96"/>
    </row>
    <row r="45" spans="1:12">
      <c r="A45" s="96"/>
      <c r="B45" s="96"/>
      <c r="C45" s="96"/>
      <c r="D45" s="96"/>
      <c r="E45" s="96"/>
      <c r="F45" s="96"/>
      <c r="G45" s="96"/>
      <c r="H45" s="96"/>
      <c r="I45" s="96"/>
      <c r="J45" s="96"/>
      <c r="K45" s="96"/>
      <c r="L45" s="96"/>
    </row>
    <row r="46" spans="1:12" ht="11.25" customHeight="1">
      <c r="A46" s="96"/>
      <c r="B46" s="96"/>
      <c r="C46" s="96"/>
      <c r="D46" s="96"/>
      <c r="E46" s="96"/>
      <c r="F46" s="96"/>
      <c r="G46" s="96"/>
      <c r="H46" s="96"/>
      <c r="I46" s="96"/>
      <c r="J46" s="96"/>
      <c r="K46" s="96"/>
      <c r="L46" s="96"/>
    </row>
    <row r="47" spans="1:12">
      <c r="A47" s="96"/>
      <c r="B47" s="96"/>
      <c r="C47" s="96"/>
      <c r="D47" s="96"/>
      <c r="E47" s="96"/>
      <c r="F47" s="96"/>
      <c r="G47" s="96"/>
      <c r="H47" s="96"/>
      <c r="I47" s="96"/>
      <c r="J47" s="96"/>
      <c r="K47" s="96"/>
      <c r="L47" s="96"/>
    </row>
  </sheetData>
  <mergeCells count="2">
    <mergeCell ref="A1:P1"/>
    <mergeCell ref="A2:P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57"/>
  <sheetViews>
    <sheetView showGridLines="0" view="pageBreakPreview" zoomScale="85" zoomScaleNormal="100" zoomScaleSheetLayoutView="85" workbookViewId="0">
      <pane ySplit="1" topLeftCell="A2" activePane="bottomLeft" state="frozen"/>
      <selection activeCell="P10" sqref="P10"/>
      <selection pane="bottomLeft" sqref="A1:L1"/>
    </sheetView>
  </sheetViews>
  <sheetFormatPr baseColWidth="10" defaultColWidth="11.42578125" defaultRowHeight="15"/>
  <cols>
    <col min="1" max="1" width="11.42578125" style="77"/>
    <col min="2" max="2" width="14.5703125" style="77" customWidth="1"/>
    <col min="3" max="3" width="17.140625" style="77" customWidth="1"/>
    <col min="4" max="4" width="20.7109375" style="77" customWidth="1"/>
    <col min="5" max="5" width="14.7109375" style="77" customWidth="1"/>
    <col min="6" max="6" width="15" style="43" customWidth="1"/>
    <col min="7" max="7" width="17.5703125" style="77" customWidth="1"/>
    <col min="8" max="9" width="16.28515625" style="77" customWidth="1"/>
    <col min="10" max="10" width="17" style="77" customWidth="1"/>
    <col min="11" max="11" width="11.42578125" style="77"/>
    <col min="12" max="12" width="6.28515625" style="77" customWidth="1"/>
    <col min="13" max="13" width="12.28515625" style="77" bestFit="1" customWidth="1"/>
    <col min="14" max="14" width="16.28515625" style="77" bestFit="1" customWidth="1"/>
    <col min="15" max="21" width="11.42578125" style="77"/>
    <col min="22" max="22" width="12.28515625" style="77" bestFit="1" customWidth="1"/>
    <col min="23" max="16384" width="11.42578125" style="77"/>
  </cols>
  <sheetData>
    <row r="1" spans="1:14" ht="75" customHeight="1">
      <c r="A1" s="2012"/>
      <c r="B1" s="2013"/>
      <c r="C1" s="2013"/>
      <c r="D1" s="2013"/>
      <c r="E1" s="2013"/>
      <c r="F1" s="2013"/>
      <c r="G1" s="2013"/>
      <c r="H1" s="2013"/>
      <c r="I1" s="2013"/>
      <c r="J1" s="2013"/>
      <c r="K1" s="2013"/>
      <c r="L1" s="2013"/>
    </row>
    <row r="2" spans="1:14" ht="6" customHeight="1">
      <c r="A2" s="2014"/>
      <c r="B2" s="2014"/>
      <c r="C2" s="2014"/>
      <c r="D2" s="2014"/>
      <c r="E2" s="2014"/>
      <c r="F2" s="2014"/>
      <c r="G2" s="2014"/>
      <c r="H2" s="2014"/>
      <c r="I2" s="2014"/>
      <c r="J2" s="2014"/>
      <c r="K2" s="2014"/>
      <c r="L2" s="2014"/>
    </row>
    <row r="3" spans="1:14" ht="45.75" customHeight="1">
      <c r="A3" s="827" t="s">
        <v>0</v>
      </c>
      <c r="B3" s="328" t="s">
        <v>35</v>
      </c>
      <c r="C3" s="328" t="s">
        <v>205</v>
      </c>
      <c r="D3" s="328" t="s">
        <v>206</v>
      </c>
      <c r="E3" s="328" t="s">
        <v>1</v>
      </c>
      <c r="F3" s="328" t="s">
        <v>458</v>
      </c>
      <c r="G3" s="328" t="s">
        <v>418</v>
      </c>
      <c r="H3" s="328" t="s">
        <v>178</v>
      </c>
      <c r="I3" s="328" t="s">
        <v>2</v>
      </c>
      <c r="J3" s="328" t="s">
        <v>3</v>
      </c>
      <c r="K3" s="329" t="s">
        <v>179</v>
      </c>
      <c r="L3" s="1"/>
    </row>
    <row r="4" spans="1:14" ht="18" hidden="1" customHeight="1">
      <c r="A4" s="494" t="s">
        <v>150</v>
      </c>
      <c r="B4" s="492"/>
      <c r="C4" s="492">
        <f>D4+K4</f>
        <v>6764678</v>
      </c>
      <c r="D4" s="820">
        <f>E4+H4</f>
        <v>3701525</v>
      </c>
      <c r="E4" s="820">
        <f>F4+G4</f>
        <v>3104294</v>
      </c>
      <c r="F4" s="820">
        <v>1392866</v>
      </c>
      <c r="G4" s="820">
        <v>1711428</v>
      </c>
      <c r="H4" s="492">
        <f>I4+J4</f>
        <v>597231</v>
      </c>
      <c r="I4" s="492">
        <v>329439</v>
      </c>
      <c r="J4" s="492">
        <v>267792</v>
      </c>
      <c r="K4" s="822">
        <v>3063153</v>
      </c>
      <c r="L4" s="1"/>
      <c r="N4" s="49"/>
    </row>
    <row r="5" spans="1:14" ht="16.5" hidden="1" customHeight="1">
      <c r="A5" s="494" t="s">
        <v>4</v>
      </c>
      <c r="B5" s="819">
        <f>+'[3]I.1.1 Cobertura SDSS '!E4</f>
        <v>8742318</v>
      </c>
      <c r="C5" s="819">
        <f>D5+K5</f>
        <v>6826593</v>
      </c>
      <c r="D5" s="821">
        <f>E5+H5</f>
        <v>3731676</v>
      </c>
      <c r="E5" s="821">
        <f>F5+G5</f>
        <v>3098443</v>
      </c>
      <c r="F5" s="820">
        <v>1420224</v>
      </c>
      <c r="G5" s="820">
        <v>1678219</v>
      </c>
      <c r="H5" s="819">
        <f>I5+J5</f>
        <v>633233</v>
      </c>
      <c r="I5" s="492">
        <v>395034</v>
      </c>
      <c r="J5" s="492">
        <v>238199</v>
      </c>
      <c r="K5" s="822">
        <v>3094917</v>
      </c>
      <c r="N5" s="49"/>
    </row>
    <row r="6" spans="1:14" ht="15" hidden="1" customHeight="1">
      <c r="A6" s="494" t="s">
        <v>5</v>
      </c>
      <c r="B6" s="819">
        <f>+'[3]I.1.1 Cobertura SDSS '!E5</f>
        <v>8855026</v>
      </c>
      <c r="C6" s="819">
        <v>6981868.5</v>
      </c>
      <c r="D6" s="821">
        <v>3933660.5</v>
      </c>
      <c r="E6" s="821">
        <v>3209932</v>
      </c>
      <c r="F6" s="820">
        <v>1481853.5</v>
      </c>
      <c r="G6" s="820">
        <v>1727862.5</v>
      </c>
      <c r="H6" s="819">
        <v>723728.5</v>
      </c>
      <c r="I6" s="492">
        <v>391070.5</v>
      </c>
      <c r="J6" s="492">
        <v>332658</v>
      </c>
      <c r="K6" s="822">
        <v>3048208</v>
      </c>
      <c r="N6" s="49"/>
    </row>
    <row r="7" spans="1:14" ht="14.25" customHeight="1">
      <c r="A7" s="494" t="s">
        <v>6</v>
      </c>
      <c r="B7" s="844">
        <v>8968144</v>
      </c>
      <c r="C7" s="842">
        <v>7144758</v>
      </c>
      <c r="D7" s="841">
        <v>3992211</v>
      </c>
      <c r="E7" s="840">
        <v>3276373</v>
      </c>
      <c r="F7" s="841">
        <v>1437260</v>
      </c>
      <c r="G7" s="841">
        <v>1839113</v>
      </c>
      <c r="H7" s="839">
        <v>715838</v>
      </c>
      <c r="I7" s="842">
        <v>415113</v>
      </c>
      <c r="J7" s="842">
        <v>300725</v>
      </c>
      <c r="K7" s="843">
        <v>3152547</v>
      </c>
      <c r="N7" s="49"/>
    </row>
    <row r="8" spans="1:14" ht="13.5" customHeight="1">
      <c r="A8" s="494" t="s">
        <v>7</v>
      </c>
      <c r="B8" s="661">
        <v>9072308</v>
      </c>
      <c r="C8" s="492">
        <v>7320436</v>
      </c>
      <c r="D8" s="820">
        <v>4100433</v>
      </c>
      <c r="E8" s="821">
        <v>3435086</v>
      </c>
      <c r="F8" s="820">
        <v>1505582.5</v>
      </c>
      <c r="G8" s="820">
        <v>1929503.5</v>
      </c>
      <c r="H8" s="819">
        <v>665347</v>
      </c>
      <c r="I8" s="492">
        <v>352829</v>
      </c>
      <c r="J8" s="492">
        <v>312518</v>
      </c>
      <c r="K8" s="822">
        <v>3220003</v>
      </c>
      <c r="N8" s="49"/>
    </row>
    <row r="9" spans="1:14" ht="12.75" customHeight="1">
      <c r="A9" s="494" t="s">
        <v>8</v>
      </c>
      <c r="B9" s="661">
        <v>9175265</v>
      </c>
      <c r="C9" s="492">
        <v>7484808</v>
      </c>
      <c r="D9" s="820">
        <v>4202277</v>
      </c>
      <c r="E9" s="821">
        <v>3548304</v>
      </c>
      <c r="F9" s="820">
        <v>1571911.5</v>
      </c>
      <c r="G9" s="820">
        <v>1976392.5</v>
      </c>
      <c r="H9" s="819">
        <v>653973</v>
      </c>
      <c r="I9" s="492">
        <v>336868</v>
      </c>
      <c r="J9" s="492">
        <v>317105</v>
      </c>
      <c r="K9" s="822">
        <v>3282531</v>
      </c>
      <c r="N9" s="49"/>
    </row>
    <row r="10" spans="1:14" ht="15" customHeight="1">
      <c r="A10" s="494" t="s">
        <v>9</v>
      </c>
      <c r="B10" s="661">
        <v>9277181</v>
      </c>
      <c r="C10" s="492">
        <v>7663945</v>
      </c>
      <c r="D10" s="820">
        <v>4256447</v>
      </c>
      <c r="E10" s="821">
        <v>3653946</v>
      </c>
      <c r="F10" s="820">
        <v>1566047</v>
      </c>
      <c r="G10" s="820">
        <v>2087899</v>
      </c>
      <c r="H10" s="819">
        <v>602501</v>
      </c>
      <c r="I10" s="492">
        <v>264997</v>
      </c>
      <c r="J10" s="492">
        <v>337504</v>
      </c>
      <c r="K10" s="822">
        <v>3407498</v>
      </c>
      <c r="N10" s="49"/>
    </row>
    <row r="11" spans="1:14" ht="15.75" customHeight="1">
      <c r="A11" s="494" t="s">
        <v>10</v>
      </c>
      <c r="B11" s="661">
        <v>9378455</v>
      </c>
      <c r="C11" s="492">
        <v>7848901</v>
      </c>
      <c r="D11" s="820">
        <v>4221883</v>
      </c>
      <c r="E11" s="821">
        <v>3593988</v>
      </c>
      <c r="F11" s="492">
        <v>1560994</v>
      </c>
      <c r="G11" s="492">
        <v>2032994</v>
      </c>
      <c r="H11" s="819">
        <v>627895</v>
      </c>
      <c r="I11" s="492">
        <v>318576</v>
      </c>
      <c r="J11" s="492">
        <v>309319</v>
      </c>
      <c r="K11" s="822">
        <v>3627018</v>
      </c>
      <c r="N11" s="49"/>
    </row>
    <row r="12" spans="1:14" ht="14.25" customHeight="1">
      <c r="A12" s="494" t="s">
        <v>151</v>
      </c>
      <c r="B12" s="661">
        <v>9478612</v>
      </c>
      <c r="C12" s="492">
        <v>7967202</v>
      </c>
      <c r="D12" s="820">
        <v>4378866</v>
      </c>
      <c r="E12" s="821">
        <v>3753529</v>
      </c>
      <c r="F12" s="492">
        <v>1631129</v>
      </c>
      <c r="G12" s="492">
        <v>2122400</v>
      </c>
      <c r="H12" s="819">
        <v>625337</v>
      </c>
      <c r="I12" s="492">
        <v>314055</v>
      </c>
      <c r="J12" s="492">
        <v>311282</v>
      </c>
      <c r="K12" s="822">
        <v>3588336</v>
      </c>
      <c r="N12" s="49"/>
    </row>
    <row r="13" spans="1:14" ht="15.75">
      <c r="A13" s="494" t="s">
        <v>234</v>
      </c>
      <c r="B13" s="661">
        <v>9579983</v>
      </c>
      <c r="C13" s="492">
        <v>8144337</v>
      </c>
      <c r="D13" s="820">
        <v>4580813</v>
      </c>
      <c r="E13" s="821">
        <v>3912405</v>
      </c>
      <c r="F13" s="492">
        <v>1686216</v>
      </c>
      <c r="G13" s="492">
        <v>2226189</v>
      </c>
      <c r="H13" s="819">
        <v>668408</v>
      </c>
      <c r="I13" s="492">
        <v>368019</v>
      </c>
      <c r="J13" s="492">
        <v>300389</v>
      </c>
      <c r="K13" s="822">
        <v>3563524</v>
      </c>
      <c r="N13" s="49"/>
    </row>
    <row r="14" spans="1:14" ht="15.75">
      <c r="A14" s="494" t="s">
        <v>485</v>
      </c>
      <c r="B14" s="661">
        <v>9680534</v>
      </c>
      <c r="C14" s="492">
        <v>8276419</v>
      </c>
      <c r="D14" s="820">
        <v>4677824</v>
      </c>
      <c r="E14" s="821">
        <v>3990748</v>
      </c>
      <c r="F14" s="492">
        <v>1716228</v>
      </c>
      <c r="G14" s="492">
        <v>2274520</v>
      </c>
      <c r="H14" s="819">
        <v>687076</v>
      </c>
      <c r="I14" s="492">
        <v>377404</v>
      </c>
      <c r="J14" s="492">
        <v>309672</v>
      </c>
      <c r="K14" s="822">
        <v>3598595</v>
      </c>
      <c r="N14" s="49"/>
    </row>
    <row r="15" spans="1:14" ht="15.75">
      <c r="A15" s="494" t="s">
        <v>573</v>
      </c>
      <c r="B15" s="661">
        <v>9780743</v>
      </c>
      <c r="C15" s="492">
        <v>8422139</v>
      </c>
      <c r="D15" s="820">
        <v>4728655</v>
      </c>
      <c r="E15" s="821">
        <v>4018420</v>
      </c>
      <c r="F15" s="492">
        <v>1769801</v>
      </c>
      <c r="G15" s="492">
        <v>2248619</v>
      </c>
      <c r="H15" s="819">
        <v>710235</v>
      </c>
      <c r="I15" s="492">
        <v>404825</v>
      </c>
      <c r="J15" s="492">
        <v>305410</v>
      </c>
      <c r="K15" s="822">
        <v>3693484</v>
      </c>
    </row>
    <row r="16" spans="1:14" ht="15.75">
      <c r="A16" s="510" t="s">
        <v>581</v>
      </c>
      <c r="B16" s="845">
        <v>9880505</v>
      </c>
      <c r="C16" s="825">
        <f>D16+K16</f>
        <v>8571213</v>
      </c>
      <c r="D16" s="846">
        <f>E16+H16</f>
        <v>4913588</v>
      </c>
      <c r="E16" s="824">
        <f>F16+G16</f>
        <v>4199885</v>
      </c>
      <c r="F16" s="825">
        <v>1865496</v>
      </c>
      <c r="G16" s="825">
        <v>2334389</v>
      </c>
      <c r="H16" s="823">
        <f>I16+J16</f>
        <v>713703</v>
      </c>
      <c r="I16" s="825">
        <v>403839</v>
      </c>
      <c r="J16" s="825">
        <v>309864</v>
      </c>
      <c r="K16" s="826">
        <v>3657625</v>
      </c>
    </row>
    <row r="17" spans="1:15">
      <c r="A17" s="95"/>
      <c r="B17" s="95"/>
      <c r="C17" s="95"/>
      <c r="D17" s="95"/>
      <c r="E17" s="95"/>
      <c r="F17" s="95"/>
      <c r="G17" s="95"/>
      <c r="H17" s="95"/>
      <c r="I17" s="95"/>
      <c r="J17" s="95"/>
      <c r="K17" s="95"/>
    </row>
    <row r="18" spans="1:15">
      <c r="A18" s="95"/>
      <c r="B18" s="95"/>
      <c r="C18" s="95"/>
      <c r="D18" s="95"/>
      <c r="E18" s="95"/>
      <c r="F18" s="78"/>
      <c r="G18" s="95"/>
      <c r="H18" s="95"/>
      <c r="I18" s="95"/>
      <c r="J18" s="95"/>
      <c r="K18" s="95"/>
    </row>
    <row r="19" spans="1:15">
      <c r="A19" s="95"/>
      <c r="B19" s="95"/>
      <c r="C19" s="95"/>
      <c r="D19" s="95"/>
      <c r="E19" s="95"/>
      <c r="F19" s="78"/>
      <c r="G19" s="95"/>
      <c r="H19" s="95"/>
      <c r="I19" s="95"/>
      <c r="J19" s="95"/>
      <c r="K19" s="95"/>
      <c r="N19" s="49"/>
      <c r="O19" s="49"/>
    </row>
    <row r="20" spans="1:15">
      <c r="A20" s="95"/>
      <c r="B20" s="95"/>
      <c r="C20" s="95"/>
      <c r="D20" s="95"/>
      <c r="E20" s="95"/>
      <c r="F20" s="78"/>
      <c r="G20" s="95"/>
      <c r="H20" s="95"/>
      <c r="I20" s="95"/>
      <c r="J20" s="95"/>
      <c r="K20" s="95"/>
      <c r="N20" s="49"/>
      <c r="O20" s="49"/>
    </row>
    <row r="21" spans="1:15">
      <c r="A21" s="95"/>
      <c r="B21" s="95"/>
      <c r="C21" s="95"/>
      <c r="D21" s="95"/>
      <c r="E21" s="95"/>
      <c r="F21" s="78"/>
      <c r="G21" s="95"/>
      <c r="H21" s="95"/>
      <c r="I21" s="95"/>
      <c r="J21" s="95"/>
      <c r="K21" s="95"/>
      <c r="N21" s="49"/>
      <c r="O21" s="49"/>
    </row>
    <row r="22" spans="1:15">
      <c r="A22" s="95"/>
      <c r="B22" s="95"/>
      <c r="C22" s="95"/>
      <c r="D22" s="95"/>
      <c r="E22" s="95"/>
      <c r="F22" s="78"/>
      <c r="G22" s="95"/>
      <c r="H22" s="95"/>
      <c r="I22" s="95"/>
      <c r="J22" s="95"/>
      <c r="K22" s="95"/>
      <c r="O22" s="49"/>
    </row>
    <row r="23" spans="1:15">
      <c r="A23" s="95"/>
      <c r="B23" s="95"/>
      <c r="C23" s="95"/>
      <c r="D23" s="95"/>
      <c r="E23" s="95"/>
      <c r="F23" s="78"/>
      <c r="G23" s="95"/>
      <c r="H23" s="95"/>
      <c r="I23" s="95"/>
      <c r="J23" s="95"/>
      <c r="K23" s="95"/>
      <c r="O23" s="49"/>
    </row>
    <row r="24" spans="1:15">
      <c r="A24" s="95"/>
      <c r="B24" s="95"/>
      <c r="C24" s="95"/>
      <c r="D24" s="95"/>
      <c r="E24" s="95"/>
      <c r="F24" s="78"/>
      <c r="G24" s="95"/>
      <c r="H24" s="95"/>
      <c r="I24" s="95"/>
      <c r="J24" s="95"/>
      <c r="K24" s="95"/>
      <c r="O24" s="49"/>
    </row>
    <row r="25" spans="1:15">
      <c r="A25" s="95"/>
      <c r="B25" s="95"/>
      <c r="C25" s="95"/>
      <c r="D25" s="95"/>
      <c r="E25" s="95"/>
      <c r="F25" s="78"/>
      <c r="G25" s="95"/>
      <c r="H25" s="95"/>
      <c r="I25" s="95"/>
      <c r="J25" s="95"/>
      <c r="K25" s="95"/>
      <c r="O25" s="49"/>
    </row>
    <row r="26" spans="1:15">
      <c r="A26" s="95"/>
      <c r="B26" s="95"/>
      <c r="C26" s="95"/>
      <c r="D26" s="95"/>
      <c r="E26" s="95"/>
      <c r="F26" s="78"/>
      <c r="G26" s="95"/>
      <c r="H26" s="95"/>
      <c r="I26" s="95"/>
      <c r="J26" s="95"/>
      <c r="K26" s="95"/>
      <c r="O26" s="49"/>
    </row>
    <row r="27" spans="1:15">
      <c r="A27" s="95"/>
      <c r="B27" s="95"/>
      <c r="C27" s="95"/>
      <c r="D27" s="95"/>
      <c r="E27" s="95"/>
      <c r="F27" s="78"/>
      <c r="G27" s="95"/>
      <c r="H27" s="95"/>
      <c r="I27" s="95"/>
      <c r="J27" s="95"/>
      <c r="K27" s="95"/>
      <c r="O27" s="49"/>
    </row>
    <row r="28" spans="1:15">
      <c r="A28" s="95"/>
      <c r="B28" s="95"/>
      <c r="C28" s="95"/>
      <c r="D28" s="95"/>
      <c r="E28" s="95"/>
      <c r="F28" s="78"/>
      <c r="G28" s="95"/>
      <c r="H28" s="95"/>
      <c r="I28" s="95"/>
      <c r="J28" s="95"/>
      <c r="K28" s="95"/>
      <c r="O28" s="49"/>
    </row>
    <row r="29" spans="1:15">
      <c r="A29" s="95"/>
      <c r="B29" s="95"/>
      <c r="C29" s="95"/>
      <c r="D29" s="95"/>
      <c r="E29" s="95"/>
      <c r="F29" s="78"/>
      <c r="G29" s="95"/>
      <c r="H29" s="95"/>
      <c r="I29" s="95"/>
      <c r="J29" s="95"/>
      <c r="K29" s="95"/>
    </row>
    <row r="30" spans="1:15">
      <c r="A30" s="95"/>
      <c r="B30" s="95"/>
      <c r="C30" s="95"/>
      <c r="D30" s="95"/>
      <c r="E30" s="95"/>
      <c r="F30" s="78"/>
      <c r="G30" s="95"/>
      <c r="H30" s="95"/>
      <c r="I30" s="95"/>
      <c r="J30" s="95"/>
      <c r="K30" s="95"/>
    </row>
    <row r="31" spans="1:15">
      <c r="A31" s="95"/>
      <c r="B31" s="95"/>
      <c r="C31" s="95"/>
      <c r="D31" s="95"/>
      <c r="E31" s="95"/>
      <c r="F31" s="78"/>
      <c r="G31" s="95"/>
      <c r="H31" s="95"/>
      <c r="I31" s="95"/>
      <c r="J31" s="95"/>
      <c r="K31" s="95"/>
    </row>
    <row r="32" spans="1:15">
      <c r="A32" s="95"/>
      <c r="B32" s="95"/>
      <c r="C32" s="95"/>
      <c r="D32" s="95"/>
      <c r="E32" s="95"/>
      <c r="F32" s="78"/>
      <c r="G32" s="95"/>
      <c r="H32" s="95"/>
      <c r="I32" s="95"/>
      <c r="J32" s="95"/>
      <c r="K32" s="95"/>
    </row>
    <row r="33" spans="1:11">
      <c r="A33" s="95"/>
      <c r="B33" s="95"/>
      <c r="C33" s="95"/>
      <c r="D33" s="95"/>
      <c r="E33" s="95"/>
      <c r="F33" s="78"/>
      <c r="G33" s="95"/>
      <c r="H33" s="95"/>
      <c r="I33" s="95"/>
      <c r="J33" s="95"/>
      <c r="K33" s="95"/>
    </row>
    <row r="34" spans="1:11">
      <c r="A34" s="95"/>
      <c r="B34" s="95"/>
      <c r="C34" s="95"/>
      <c r="D34" s="95"/>
      <c r="E34" s="95"/>
      <c r="F34" s="78"/>
      <c r="G34" s="95"/>
      <c r="H34" s="95"/>
      <c r="I34" s="95"/>
      <c r="J34" s="95"/>
      <c r="K34" s="95"/>
    </row>
    <row r="35" spans="1:11">
      <c r="A35" s="95"/>
      <c r="B35" s="95"/>
      <c r="C35" s="95"/>
      <c r="D35" s="95"/>
      <c r="E35" s="95"/>
      <c r="F35" s="78"/>
      <c r="G35" s="95"/>
      <c r="H35" s="95"/>
      <c r="I35" s="95"/>
      <c r="J35" s="95"/>
      <c r="K35" s="95"/>
    </row>
    <row r="36" spans="1:11">
      <c r="A36" s="95"/>
      <c r="B36" s="95"/>
      <c r="C36" s="95"/>
      <c r="D36" s="95"/>
      <c r="E36" s="95"/>
      <c r="F36" s="78"/>
      <c r="G36" s="95"/>
      <c r="H36" s="95"/>
      <c r="I36" s="95"/>
      <c r="J36" s="95"/>
      <c r="K36" s="95"/>
    </row>
    <row r="37" spans="1:11">
      <c r="A37" s="95"/>
      <c r="B37" s="95"/>
      <c r="C37" s="95"/>
      <c r="D37" s="95"/>
      <c r="E37" s="95"/>
      <c r="F37" s="78"/>
      <c r="G37" s="95"/>
      <c r="H37" s="95"/>
      <c r="I37" s="95"/>
      <c r="J37" s="95"/>
      <c r="K37" s="95"/>
    </row>
    <row r="38" spans="1:11" ht="3" customHeight="1">
      <c r="A38" s="51"/>
      <c r="B38" s="51"/>
      <c r="C38" s="51"/>
      <c r="D38" s="51"/>
      <c r="E38" s="51"/>
      <c r="F38" s="51"/>
      <c r="G38" s="51"/>
      <c r="H38" s="51"/>
      <c r="I38" s="51"/>
      <c r="J38" s="51"/>
      <c r="K38" s="51"/>
    </row>
    <row r="39" spans="1:11">
      <c r="A39" s="96"/>
      <c r="B39" s="96"/>
      <c r="C39" s="96"/>
      <c r="D39" s="96"/>
      <c r="E39" s="96"/>
      <c r="F39" s="42"/>
      <c r="G39" s="96"/>
      <c r="H39" s="96"/>
      <c r="I39" s="96"/>
      <c r="J39" s="96"/>
      <c r="K39" s="96"/>
    </row>
    <row r="42" spans="1:11">
      <c r="A42" s="96"/>
      <c r="B42" s="96"/>
      <c r="C42" s="96"/>
      <c r="D42" s="96"/>
      <c r="E42" s="96"/>
      <c r="F42" s="42"/>
      <c r="G42" s="96"/>
      <c r="H42" s="96"/>
      <c r="I42" s="96"/>
      <c r="J42" s="96"/>
      <c r="K42" s="96"/>
    </row>
    <row r="57" spans="7:7">
      <c r="G57" s="77">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topLeftCell="A2" zoomScale="70" zoomScaleNormal="100" zoomScaleSheetLayoutView="70" zoomScalePageLayoutView="62" workbookViewId="0">
      <selection activeCell="A2" sqref="A2:P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41.8554687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s="889" customFormat="1" ht="90.75" customHeight="1">
      <c r="A1" s="2015"/>
      <c r="B1" s="2015"/>
      <c r="C1" s="2015"/>
      <c r="D1" s="2015"/>
      <c r="E1" s="2015"/>
      <c r="F1" s="2015"/>
      <c r="G1" s="2015"/>
      <c r="H1" s="2015"/>
      <c r="I1" s="2015"/>
      <c r="J1" s="2015"/>
      <c r="K1" s="2015"/>
      <c r="L1" s="2015"/>
      <c r="M1" s="2015"/>
      <c r="N1" s="2015"/>
      <c r="O1" s="2015"/>
      <c r="P1" s="2015"/>
    </row>
    <row r="2" spans="1:33" ht="357.75" customHeight="1">
      <c r="A2" s="2016" t="s">
        <v>425</v>
      </c>
      <c r="B2" s="2017"/>
      <c r="C2" s="2017"/>
      <c r="D2" s="2017"/>
      <c r="E2" s="2017"/>
      <c r="F2" s="2017"/>
      <c r="G2" s="2017"/>
      <c r="H2" s="2017"/>
      <c r="I2" s="2017"/>
      <c r="J2" s="2017"/>
      <c r="K2" s="2017"/>
      <c r="L2" s="2017"/>
      <c r="M2" s="2017"/>
      <c r="N2" s="2017"/>
      <c r="O2" s="2017"/>
      <c r="P2" s="2017"/>
      <c r="Q2" s="61"/>
      <c r="R2" s="61"/>
      <c r="S2" s="24"/>
      <c r="T2" s="24"/>
      <c r="U2" s="24"/>
      <c r="V2" s="24"/>
    </row>
    <row r="3" spans="1:33" ht="408.75" customHeight="1">
      <c r="A3" s="2018"/>
      <c r="B3" s="2018"/>
      <c r="C3" s="2018"/>
      <c r="D3" s="2018"/>
      <c r="E3" s="2018"/>
      <c r="F3" s="2018"/>
      <c r="G3" s="2018"/>
      <c r="H3" s="2018"/>
      <c r="I3" s="2018"/>
      <c r="J3" s="2018"/>
      <c r="K3" s="2018"/>
      <c r="L3" s="2018"/>
      <c r="M3" s="2018"/>
      <c r="N3" s="2018"/>
      <c r="O3" s="2018"/>
      <c r="P3" s="2018"/>
      <c r="Q3" s="61"/>
      <c r="R3" s="61"/>
      <c r="S3" s="24"/>
      <c r="T3" s="24"/>
      <c r="U3" s="24"/>
      <c r="V3" s="24"/>
    </row>
    <row r="4" spans="1:33" ht="361.5" customHeight="1">
      <c r="A4" s="2018"/>
      <c r="B4" s="2018"/>
      <c r="C4" s="2018"/>
      <c r="D4" s="2018"/>
      <c r="E4" s="2018"/>
      <c r="F4" s="2018"/>
      <c r="G4" s="2018"/>
      <c r="H4" s="2018"/>
      <c r="I4" s="2018"/>
      <c r="J4" s="2018"/>
      <c r="K4" s="2018"/>
      <c r="L4" s="2018"/>
      <c r="M4" s="2018"/>
      <c r="N4" s="2018"/>
      <c r="O4" s="2018"/>
      <c r="P4" s="2018"/>
      <c r="Q4" s="61"/>
      <c r="R4" s="61"/>
      <c r="S4" s="24"/>
      <c r="T4" s="24"/>
      <c r="U4" s="24"/>
      <c r="V4" s="24"/>
    </row>
    <row r="5" spans="1:33" ht="60.75" customHeight="1">
      <c r="A5" s="2019"/>
      <c r="B5" s="2019"/>
      <c r="C5" s="2019"/>
      <c r="D5" s="2019"/>
      <c r="E5" s="2019"/>
      <c r="F5" s="2019"/>
      <c r="G5" s="2019"/>
      <c r="H5" s="2019"/>
      <c r="I5" s="2019"/>
      <c r="J5" s="2019"/>
      <c r="K5" s="2019"/>
      <c r="L5" s="2019"/>
      <c r="M5" s="2019"/>
      <c r="N5" s="2019"/>
      <c r="O5" s="2019"/>
      <c r="P5" s="2019"/>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33</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33</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1834"/>
      <c r="B40" s="1834"/>
      <c r="C40" s="1834"/>
      <c r="D40" s="1834"/>
      <c r="E40" s="1834"/>
      <c r="F40" s="1834"/>
      <c r="G40" s="1834"/>
      <c r="H40" s="1834"/>
      <c r="I40" s="1834"/>
      <c r="J40" s="1834"/>
      <c r="K40" s="1834"/>
      <c r="L40" s="1834"/>
      <c r="M40" s="1834"/>
      <c r="N40" s="1834"/>
      <c r="O40" s="1834"/>
      <c r="P40" s="1834"/>
      <c r="Q40" s="1834"/>
      <c r="R40" s="1834"/>
      <c r="S40" s="1834"/>
      <c r="T40" s="1834"/>
      <c r="U40" s="1834"/>
      <c r="V40" s="1834"/>
      <c r="W40" s="1834"/>
      <c r="X40" s="1834"/>
      <c r="Y40" s="1834"/>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91"/>
  <sheetViews>
    <sheetView showGridLines="0" view="pageBreakPreview" topLeftCell="A2" zoomScale="55" zoomScaleNormal="100" zoomScaleSheetLayoutView="55" zoomScalePageLayoutView="62" workbookViewId="0">
      <selection activeCell="R2" sqref="R2"/>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16" style="77" customWidth="1"/>
    <col min="10" max="10" width="18.7109375" style="77" customWidth="1"/>
    <col min="11" max="11" width="17.140625" style="77" customWidth="1"/>
    <col min="12" max="12" width="15.7109375" style="77" customWidth="1"/>
    <col min="13" max="13" width="16.85546875" style="77" customWidth="1"/>
    <col min="14" max="14" width="16.28515625" style="77" customWidth="1"/>
    <col min="15" max="15" width="15" style="77" customWidth="1"/>
    <col min="16" max="16" width="9.7109375" style="77" customWidth="1"/>
    <col min="17" max="17" width="18" style="77" bestFit="1" customWidth="1"/>
    <col min="18" max="18" width="17.42578125" style="77" customWidth="1"/>
    <col min="19" max="22" width="11.42578125" style="77"/>
    <col min="23" max="23" width="18.7109375" style="77" bestFit="1" customWidth="1"/>
    <col min="24" max="16384" width="11.42578125" style="77"/>
  </cols>
  <sheetData>
    <row r="1" spans="1:29" ht="90.75" customHeight="1">
      <c r="A1" s="2020"/>
      <c r="B1" s="2020"/>
      <c r="C1" s="2020"/>
      <c r="D1" s="2020"/>
      <c r="E1" s="2020"/>
      <c r="F1" s="2020"/>
      <c r="G1" s="2020"/>
      <c r="H1" s="2020"/>
      <c r="I1" s="2020"/>
      <c r="J1" s="2020"/>
      <c r="K1" s="2020"/>
      <c r="L1" s="2020"/>
      <c r="M1" s="2020"/>
      <c r="N1" s="2020"/>
      <c r="O1" s="2020"/>
      <c r="P1" s="2020"/>
    </row>
    <row r="2" spans="1:29" ht="408.75" customHeight="1">
      <c r="A2" s="2021" t="s">
        <v>430</v>
      </c>
      <c r="B2" s="2022"/>
      <c r="C2" s="2022"/>
      <c r="D2" s="2022"/>
      <c r="E2" s="2022"/>
      <c r="F2" s="2022"/>
      <c r="G2" s="2022"/>
      <c r="H2" s="2022"/>
      <c r="I2" s="2022"/>
      <c r="J2" s="2022"/>
      <c r="K2" s="2022"/>
      <c r="L2" s="2022"/>
      <c r="M2" s="2022"/>
      <c r="N2" s="2022"/>
      <c r="O2" s="2022"/>
      <c r="P2" s="2022"/>
      <c r="Q2" s="61"/>
      <c r="R2" s="61"/>
    </row>
    <row r="3" spans="1:29" ht="408.75" customHeight="1">
      <c r="A3" s="2022"/>
      <c r="B3" s="2022"/>
      <c r="C3" s="2022"/>
      <c r="D3" s="2022"/>
      <c r="E3" s="2022"/>
      <c r="F3" s="2022"/>
      <c r="G3" s="2022"/>
      <c r="H3" s="2022"/>
      <c r="I3" s="2022"/>
      <c r="J3" s="2022"/>
      <c r="K3" s="2022"/>
      <c r="L3" s="2022"/>
      <c r="M3" s="2022"/>
      <c r="N3" s="2022"/>
      <c r="O3" s="2022"/>
      <c r="P3" s="2022"/>
      <c r="Q3" s="61"/>
      <c r="R3" s="61"/>
    </row>
    <row r="4" spans="1:29" ht="357" customHeight="1">
      <c r="A4" s="2022"/>
      <c r="B4" s="2022"/>
      <c r="C4" s="2022"/>
      <c r="D4" s="2022"/>
      <c r="E4" s="2022"/>
      <c r="F4" s="2022"/>
      <c r="G4" s="2022"/>
      <c r="H4" s="2022"/>
      <c r="I4" s="2022"/>
      <c r="J4" s="2022"/>
      <c r="K4" s="2022"/>
      <c r="L4" s="2022"/>
      <c r="M4" s="2022"/>
      <c r="N4" s="2022"/>
      <c r="O4" s="2022"/>
      <c r="P4" s="2022"/>
      <c r="Q4" s="61"/>
      <c r="R4" s="61"/>
      <c r="S4" s="77" t="s">
        <v>33</v>
      </c>
    </row>
    <row r="5" spans="1:29" s="2023" customFormat="1" ht="25.5" customHeight="1"/>
    <row r="6" spans="1:29" ht="25.5" customHeight="1">
      <c r="A6"/>
      <c r="B6"/>
      <c r="C6"/>
      <c r="D6"/>
      <c r="E6"/>
      <c r="F6"/>
      <c r="G6"/>
      <c r="H6"/>
      <c r="I6"/>
      <c r="J6"/>
      <c r="K6"/>
      <c r="L6"/>
      <c r="M6"/>
      <c r="N6"/>
      <c r="O6"/>
      <c r="P6"/>
      <c r="Q6" s="61"/>
      <c r="R6" s="61"/>
    </row>
    <row r="7" spans="1:29" ht="25.5" customHeight="1">
      <c r="A7"/>
      <c r="B7"/>
      <c r="C7"/>
      <c r="D7"/>
      <c r="E7"/>
      <c r="F7"/>
      <c r="G7"/>
      <c r="H7"/>
      <c r="I7"/>
      <c r="J7"/>
      <c r="K7"/>
      <c r="L7"/>
      <c r="M7"/>
      <c r="N7"/>
      <c r="O7"/>
      <c r="P7"/>
      <c r="Q7" s="61"/>
      <c r="R7" s="61"/>
    </row>
    <row r="8" spans="1:29" ht="25.5" customHeight="1">
      <c r="A8"/>
      <c r="B8"/>
      <c r="C8"/>
      <c r="D8"/>
      <c r="E8"/>
      <c r="F8"/>
      <c r="G8"/>
      <c r="H8"/>
      <c r="I8"/>
      <c r="J8"/>
      <c r="K8"/>
      <c r="L8"/>
      <c r="M8"/>
      <c r="N8"/>
      <c r="O8"/>
      <c r="P8"/>
      <c r="Q8" s="61"/>
      <c r="R8" s="61"/>
    </row>
    <row r="9" spans="1:29" ht="25.5" customHeight="1">
      <c r="A9"/>
      <c r="B9"/>
      <c r="C9"/>
      <c r="D9"/>
      <c r="E9"/>
      <c r="F9"/>
      <c r="G9"/>
      <c r="H9"/>
      <c r="I9"/>
      <c r="J9"/>
      <c r="K9"/>
      <c r="L9"/>
      <c r="M9"/>
      <c r="N9"/>
      <c r="O9"/>
      <c r="P9"/>
      <c r="Q9" s="61"/>
      <c r="R9" s="61"/>
    </row>
    <row r="10" spans="1:29" ht="25.5" customHeight="1">
      <c r="A10"/>
      <c r="B10"/>
      <c r="C10"/>
      <c r="D10"/>
      <c r="E10"/>
      <c r="F10"/>
      <c r="G10"/>
      <c r="H10"/>
      <c r="I10"/>
      <c r="J10"/>
      <c r="K10"/>
      <c r="L10"/>
      <c r="M10"/>
      <c r="N10"/>
      <c r="O10"/>
      <c r="P10"/>
      <c r="Q10" s="61"/>
      <c r="R10" s="61"/>
    </row>
    <row r="11" spans="1:29" ht="25.5" customHeight="1">
      <c r="A11"/>
      <c r="B11"/>
      <c r="C11"/>
      <c r="D11"/>
      <c r="E11"/>
      <c r="F11"/>
      <c r="G11"/>
      <c r="H11"/>
      <c r="I11"/>
      <c r="J11"/>
      <c r="K11"/>
      <c r="L11"/>
      <c r="M11"/>
      <c r="N11"/>
      <c r="O11"/>
      <c r="P11"/>
      <c r="Q11" s="61"/>
      <c r="R11" s="61"/>
    </row>
    <row r="12" spans="1:29" ht="23.25" customHeight="1">
      <c r="A12"/>
      <c r="B12"/>
      <c r="C12"/>
      <c r="D12"/>
      <c r="E12"/>
      <c r="F12"/>
      <c r="G12"/>
      <c r="H12"/>
      <c r="I12"/>
      <c r="J12"/>
      <c r="K12"/>
      <c r="L12"/>
      <c r="M12"/>
      <c r="N12"/>
      <c r="O12"/>
      <c r="P12"/>
      <c r="Q12" s="61"/>
      <c r="R12" s="61"/>
    </row>
    <row r="13" spans="1:29" ht="25.5" customHeight="1">
      <c r="A13" s="31"/>
      <c r="B13" s="31"/>
      <c r="C13" s="31"/>
      <c r="D13" s="31"/>
      <c r="E13" s="31"/>
      <c r="F13" s="31"/>
      <c r="G13" s="31"/>
      <c r="H13" s="31"/>
      <c r="I13" s="31"/>
      <c r="J13" s="31"/>
      <c r="K13" s="31"/>
      <c r="L13" s="31"/>
      <c r="M13" s="31"/>
      <c r="N13" s="31"/>
      <c r="O13" s="31"/>
      <c r="P13" s="31"/>
      <c r="R13" s="61"/>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7" t="s">
        <v>33</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7" t="s">
        <v>33</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6"/>
      <c r="T35" s="96"/>
      <c r="U35" s="96"/>
      <c r="V35" s="96"/>
      <c r="W35" s="96"/>
      <c r="X35" s="96"/>
    </row>
    <row r="36" spans="1:26">
      <c r="S36" s="96"/>
      <c r="T36" s="96"/>
      <c r="U36" s="96"/>
      <c r="V36" s="96"/>
      <c r="W36" s="96"/>
      <c r="X36" s="96"/>
    </row>
    <row r="37" spans="1:26">
      <c r="S37" s="96"/>
      <c r="T37" s="96"/>
      <c r="U37" s="96"/>
      <c r="V37" s="96"/>
      <c r="W37" s="96"/>
      <c r="X37" s="96"/>
    </row>
    <row r="38" spans="1:26">
      <c r="S38" s="96"/>
      <c r="T38" s="96"/>
      <c r="U38" s="96"/>
      <c r="V38" s="96"/>
      <c r="W38" s="96"/>
      <c r="X38" s="96"/>
    </row>
    <row r="39" spans="1:26" ht="51" customHeight="1">
      <c r="S39" s="96"/>
      <c r="T39" s="96"/>
      <c r="U39" s="96"/>
      <c r="V39" s="96"/>
      <c r="W39" s="96"/>
      <c r="X39" s="96"/>
    </row>
    <row r="40" spans="1:26" ht="78" customHeight="1">
      <c r="A40" s="1834"/>
      <c r="B40" s="1834"/>
      <c r="C40" s="1834"/>
      <c r="D40" s="1834"/>
      <c r="E40" s="1834"/>
      <c r="F40" s="1834"/>
      <c r="G40" s="1834"/>
      <c r="H40" s="1834"/>
      <c r="I40" s="1834"/>
      <c r="J40" s="1834"/>
      <c r="K40" s="1834"/>
      <c r="L40" s="1834"/>
      <c r="M40" s="1834"/>
      <c r="N40" s="1834"/>
      <c r="O40" s="1834"/>
      <c r="P40" s="1834"/>
      <c r="Q40" s="1834"/>
      <c r="R40" s="1834"/>
      <c r="S40" s="1834"/>
      <c r="T40" s="1834"/>
      <c r="U40" s="1834"/>
      <c r="V40" s="96"/>
      <c r="W40" s="96"/>
      <c r="X40" s="96"/>
    </row>
    <row r="41" spans="1:26">
      <c r="S41" s="96"/>
    </row>
    <row r="42" spans="1:26">
      <c r="S42" s="96"/>
    </row>
    <row r="43" spans="1:26">
      <c r="S43" s="96"/>
    </row>
    <row r="44" spans="1:26">
      <c r="S44" s="96"/>
    </row>
    <row r="45" spans="1:26">
      <c r="S45" s="96"/>
    </row>
    <row r="46" spans="1:26">
      <c r="S46" s="96"/>
      <c r="T46" s="96"/>
      <c r="U46" s="96"/>
      <c r="V46" s="96"/>
      <c r="W46" s="96"/>
      <c r="X46" s="96"/>
      <c r="Y46" s="96"/>
      <c r="Z46" s="96"/>
    </row>
    <row r="47" spans="1:26">
      <c r="S47" s="96"/>
      <c r="T47" s="96"/>
      <c r="U47" s="96"/>
      <c r="V47" s="96"/>
      <c r="W47" s="96"/>
      <c r="X47" s="96"/>
      <c r="Y47" s="96"/>
      <c r="Z47" s="96"/>
    </row>
    <row r="48" spans="1:26">
      <c r="S48" s="96"/>
      <c r="T48" s="96"/>
      <c r="U48" s="96"/>
      <c r="V48" s="96"/>
      <c r="W48" s="96"/>
      <c r="X48" s="96"/>
      <c r="Y48" s="96"/>
      <c r="Z48" s="96"/>
    </row>
    <row r="49" spans="2:26">
      <c r="S49" s="96"/>
      <c r="T49" s="96"/>
      <c r="U49" s="96"/>
      <c r="V49" s="96"/>
      <c r="W49" s="96"/>
      <c r="X49" s="96"/>
      <c r="Y49" s="96"/>
      <c r="Z49" s="96"/>
    </row>
    <row r="50" spans="2:26">
      <c r="S50" s="96"/>
      <c r="T50" s="96"/>
      <c r="U50" s="96"/>
      <c r="V50" s="96"/>
      <c r="W50" s="96"/>
      <c r="X50" s="96"/>
      <c r="Y50" s="96"/>
      <c r="Z50" s="96"/>
    </row>
    <row r="51" spans="2:26">
      <c r="S51" s="96"/>
      <c r="T51" s="96"/>
      <c r="U51" s="96"/>
      <c r="V51" s="96"/>
      <c r="W51" s="96"/>
      <c r="X51" s="96"/>
      <c r="Y51" s="96"/>
      <c r="Z51" s="96"/>
    </row>
    <row r="52" spans="2:26">
      <c r="B52" s="96"/>
      <c r="C52" s="96"/>
      <c r="D52" s="96"/>
      <c r="E52" s="96"/>
      <c r="F52" s="96"/>
      <c r="G52" s="96"/>
      <c r="H52" s="96"/>
      <c r="I52" s="96"/>
      <c r="J52" s="96"/>
      <c r="K52" s="96"/>
      <c r="L52" s="96"/>
      <c r="M52" s="96"/>
      <c r="N52" s="96"/>
      <c r="O52" s="96"/>
      <c r="P52" s="96"/>
      <c r="Q52" s="96"/>
      <c r="R52" s="96"/>
      <c r="S52" s="96"/>
      <c r="T52" s="96"/>
      <c r="U52" s="96"/>
      <c r="V52" s="96"/>
      <c r="W52" s="96"/>
      <c r="X52" s="96"/>
      <c r="Y52" s="96"/>
      <c r="Z52" s="96"/>
    </row>
    <row r="71" spans="20:20">
      <c r="T71" s="96"/>
    </row>
    <row r="72" spans="20:20">
      <c r="T72" s="96"/>
    </row>
    <row r="73" spans="20:20">
      <c r="T73" s="96"/>
    </row>
    <row r="74" spans="20:20">
      <c r="T74" s="96"/>
    </row>
    <row r="75" spans="20:20">
      <c r="T75" s="96"/>
    </row>
    <row r="76" spans="20:20">
      <c r="T76" s="96"/>
    </row>
    <row r="77" spans="20:20">
      <c r="T77" s="96"/>
    </row>
    <row r="78" spans="20:20">
      <c r="T78" s="96"/>
    </row>
    <row r="88" spans="20:20">
      <c r="T88" s="96"/>
    </row>
    <row r="89" spans="20:20">
      <c r="T89" s="96"/>
    </row>
    <row r="90" spans="20:20">
      <c r="T90" s="96"/>
    </row>
    <row r="91" spans="20:20">
      <c r="T91" s="96"/>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topLeftCell="A2" zoomScale="40" zoomScaleNormal="100" zoomScaleSheetLayoutView="40" zoomScalePageLayoutView="62" workbookViewId="0">
      <selection activeCell="A2" sqref="A2:P5"/>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9"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105.75" customHeight="1">
      <c r="A1" s="1836"/>
      <c r="B1" s="1836"/>
      <c r="C1" s="1836"/>
      <c r="D1" s="1836"/>
      <c r="E1" s="1836"/>
      <c r="F1" s="1836"/>
      <c r="G1" s="1836"/>
      <c r="H1" s="1836"/>
      <c r="I1" s="1836"/>
      <c r="J1" s="1836"/>
      <c r="K1" s="1836"/>
      <c r="L1" s="1836"/>
      <c r="M1" s="1836"/>
      <c r="N1" s="1836"/>
      <c r="O1" s="1836"/>
      <c r="P1" s="1836"/>
    </row>
    <row r="2" spans="1:33" ht="408.75" customHeight="1">
      <c r="A2" s="2024" t="s">
        <v>431</v>
      </c>
      <c r="B2" s="2025"/>
      <c r="C2" s="2025"/>
      <c r="D2" s="2025"/>
      <c r="E2" s="2025"/>
      <c r="F2" s="2025"/>
      <c r="G2" s="2025"/>
      <c r="H2" s="2025"/>
      <c r="I2" s="2025"/>
      <c r="J2" s="2025"/>
      <c r="K2" s="2025"/>
      <c r="L2" s="2025"/>
      <c r="M2" s="2025"/>
      <c r="N2" s="2025"/>
      <c r="O2" s="2025"/>
      <c r="P2" s="2025"/>
      <c r="Q2" s="61"/>
      <c r="R2" s="61"/>
      <c r="S2" s="24"/>
      <c r="T2" s="24"/>
      <c r="U2" s="24"/>
      <c r="V2" s="24"/>
    </row>
    <row r="3" spans="1:33" ht="408.75" customHeight="1">
      <c r="A3" s="2025"/>
      <c r="B3" s="2025"/>
      <c r="C3" s="2025"/>
      <c r="D3" s="2025"/>
      <c r="E3" s="2025"/>
      <c r="F3" s="2025"/>
      <c r="G3" s="2025"/>
      <c r="H3" s="2025"/>
      <c r="I3" s="2025"/>
      <c r="J3" s="2025"/>
      <c r="K3" s="2025"/>
      <c r="L3" s="2025"/>
      <c r="M3" s="2025"/>
      <c r="N3" s="2025"/>
      <c r="O3" s="2025"/>
      <c r="P3" s="2025"/>
      <c r="Q3" s="61"/>
      <c r="R3" s="61"/>
      <c r="S3" s="24"/>
      <c r="T3" s="24"/>
      <c r="U3" s="24"/>
      <c r="V3" s="24"/>
    </row>
    <row r="4" spans="1:33" ht="409.5" customHeight="1">
      <c r="A4" s="2025"/>
      <c r="B4" s="2025"/>
      <c r="C4" s="2025"/>
      <c r="D4" s="2025"/>
      <c r="E4" s="2025"/>
      <c r="F4" s="2025"/>
      <c r="G4" s="2025"/>
      <c r="H4" s="2025"/>
      <c r="I4" s="2025"/>
      <c r="J4" s="2025"/>
      <c r="K4" s="2025"/>
      <c r="L4" s="2025"/>
      <c r="M4" s="2025"/>
      <c r="N4" s="2025"/>
      <c r="O4" s="2025"/>
      <c r="P4" s="2025"/>
      <c r="Q4" s="61"/>
      <c r="R4" s="61"/>
      <c r="S4" s="24"/>
      <c r="T4" s="24"/>
      <c r="U4" s="24"/>
      <c r="V4" s="24"/>
    </row>
    <row r="5" spans="1:33" ht="114.75" customHeight="1">
      <c r="A5" s="2025"/>
      <c r="B5" s="2025"/>
      <c r="C5" s="2025"/>
      <c r="D5" s="2025"/>
      <c r="E5" s="2025"/>
      <c r="F5" s="2025"/>
      <c r="G5" s="2025"/>
      <c r="H5" s="2025"/>
      <c r="I5" s="2025"/>
      <c r="J5" s="2025"/>
      <c r="K5" s="2025"/>
      <c r="L5" s="2025"/>
      <c r="M5" s="2025"/>
      <c r="N5" s="2025"/>
      <c r="O5" s="2025"/>
      <c r="P5" s="2025"/>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33</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33</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1834"/>
      <c r="B40" s="1834"/>
      <c r="C40" s="1834"/>
      <c r="D40" s="1834"/>
      <c r="E40" s="1834"/>
      <c r="F40" s="1834"/>
      <c r="G40" s="1834"/>
      <c r="H40" s="1834"/>
      <c r="I40" s="1834"/>
      <c r="J40" s="1834"/>
      <c r="K40" s="1834"/>
      <c r="L40" s="1834"/>
      <c r="M40" s="1834"/>
      <c r="N40" s="1834"/>
      <c r="O40" s="1834"/>
      <c r="P40" s="1834"/>
      <c r="Q40" s="1834"/>
      <c r="R40" s="1834"/>
      <c r="S40" s="1834"/>
      <c r="T40" s="1834"/>
      <c r="U40" s="1834"/>
      <c r="V40" s="1834"/>
      <c r="W40" s="1834"/>
      <c r="X40" s="1834"/>
      <c r="Y40" s="1834"/>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topLeftCell="C1" zoomScaleNormal="100" zoomScaleSheetLayoutView="100" workbookViewId="0">
      <selection activeCell="P34" sqref="P34"/>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topLeftCell="A2" zoomScale="55" zoomScaleNormal="100" zoomScaleSheetLayoutView="55" zoomScalePageLayoutView="62" workbookViewId="0">
      <selection activeCell="Q3" sqref="Q3"/>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1.4257812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90.75" customHeight="1">
      <c r="A1" s="1833"/>
      <c r="B1" s="1833"/>
      <c r="C1" s="1833"/>
      <c r="D1" s="1833"/>
      <c r="E1" s="1833"/>
      <c r="F1" s="1833"/>
      <c r="G1" s="1833"/>
      <c r="H1" s="1833"/>
      <c r="I1" s="1833"/>
      <c r="J1" s="1833"/>
      <c r="K1" s="1833"/>
      <c r="L1" s="1833"/>
      <c r="M1" s="1833"/>
      <c r="N1" s="1833"/>
      <c r="O1" s="1833"/>
      <c r="P1" s="1833"/>
    </row>
    <row r="2" spans="1:33" ht="408.75" customHeight="1">
      <c r="A2" s="2021" t="s">
        <v>627</v>
      </c>
      <c r="B2" s="2022"/>
      <c r="C2" s="2022"/>
      <c r="D2" s="2022"/>
      <c r="E2" s="2022"/>
      <c r="F2" s="2022"/>
      <c r="G2" s="2022"/>
      <c r="H2" s="2022"/>
      <c r="I2" s="2022"/>
      <c r="J2" s="2022"/>
      <c r="K2" s="2022"/>
      <c r="L2" s="2022"/>
      <c r="M2" s="2022"/>
      <c r="N2" s="2022"/>
      <c r="O2" s="2022"/>
      <c r="P2" s="2022"/>
      <c r="Q2" s="61"/>
      <c r="R2" s="61"/>
      <c r="S2" s="24"/>
      <c r="T2" s="24"/>
      <c r="U2" s="24"/>
      <c r="V2" s="24"/>
    </row>
    <row r="3" spans="1:33" ht="408.75" customHeight="1">
      <c r="A3" s="2022"/>
      <c r="B3" s="2022"/>
      <c r="C3" s="2022"/>
      <c r="D3" s="2022"/>
      <c r="E3" s="2022"/>
      <c r="F3" s="2022"/>
      <c r="G3" s="2022"/>
      <c r="H3" s="2022"/>
      <c r="I3" s="2022"/>
      <c r="J3" s="2022"/>
      <c r="K3" s="2022"/>
      <c r="L3" s="2022"/>
      <c r="M3" s="2022"/>
      <c r="N3" s="2022"/>
      <c r="O3" s="2022"/>
      <c r="P3" s="2022"/>
      <c r="Q3" s="61"/>
      <c r="R3" s="61"/>
      <c r="S3" s="24"/>
      <c r="T3" s="24"/>
      <c r="U3" s="24"/>
      <c r="V3" s="24"/>
    </row>
    <row r="4" spans="1:33" ht="409.5" customHeight="1">
      <c r="A4" s="2022"/>
      <c r="B4" s="2022"/>
      <c r="C4" s="2022"/>
      <c r="D4" s="2022"/>
      <c r="E4" s="2022"/>
      <c r="F4" s="2022"/>
      <c r="G4" s="2022"/>
      <c r="H4" s="2022"/>
      <c r="I4" s="2022"/>
      <c r="J4" s="2022"/>
      <c r="K4" s="2022"/>
      <c r="L4" s="2022"/>
      <c r="M4" s="2022"/>
      <c r="N4" s="2022"/>
      <c r="O4" s="2022"/>
      <c r="P4" s="2022"/>
      <c r="Q4" s="61"/>
      <c r="R4" s="61"/>
      <c r="S4" s="24"/>
      <c r="T4" s="24"/>
      <c r="U4" s="24"/>
      <c r="V4" s="24"/>
    </row>
    <row r="5" spans="1:33" ht="386.25" customHeight="1">
      <c r="A5" s="2019"/>
      <c r="B5" s="2019"/>
      <c r="C5" s="2019"/>
      <c r="D5" s="2019"/>
      <c r="E5" s="2019"/>
      <c r="F5" s="2019"/>
      <c r="G5" s="2019"/>
      <c r="H5" s="2019"/>
      <c r="I5" s="2019"/>
      <c r="J5" s="2019"/>
      <c r="K5" s="2019"/>
      <c r="L5" s="2019"/>
      <c r="M5" s="2019"/>
      <c r="N5" s="2019"/>
      <c r="O5" s="2019"/>
      <c r="P5" s="2019"/>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33</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33</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1834"/>
      <c r="B40" s="1834"/>
      <c r="C40" s="1834"/>
      <c r="D40" s="1834"/>
      <c r="E40" s="1834"/>
      <c r="F40" s="1834"/>
      <c r="G40" s="1834"/>
      <c r="H40" s="1834"/>
      <c r="I40" s="1834"/>
      <c r="J40" s="1834"/>
      <c r="K40" s="1834"/>
      <c r="L40" s="1834"/>
      <c r="M40" s="1834"/>
      <c r="N40" s="1834"/>
      <c r="O40" s="1834"/>
      <c r="P40" s="1834"/>
      <c r="Q40" s="1834"/>
      <c r="R40" s="1834"/>
      <c r="S40" s="1834"/>
      <c r="T40" s="1834"/>
      <c r="U40" s="1834"/>
      <c r="V40" s="1834"/>
      <c r="W40" s="1834"/>
      <c r="X40" s="1834"/>
      <c r="Y40" s="1834"/>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view="pageBreakPreview" topLeftCell="A4" zoomScale="85" zoomScaleNormal="100" zoomScaleSheetLayoutView="85" workbookViewId="0">
      <selection activeCell="O45" sqref="O45"/>
    </sheetView>
  </sheetViews>
  <sheetFormatPr baseColWidth="10" defaultColWidth="11.42578125" defaultRowHeight="15"/>
  <cols>
    <col min="1" max="6" width="11.42578125" style="77"/>
    <col min="7" max="7" width="13.42578125" style="77" customWidth="1"/>
    <col min="8" max="10" width="11.42578125" style="77"/>
    <col min="11" max="11" width="14" style="77" customWidth="1"/>
    <col min="12" max="12" width="13.140625" style="77" customWidth="1"/>
    <col min="13" max="14" width="11.42578125" style="77"/>
    <col min="15" max="15" width="19.7109375" style="77" customWidth="1"/>
    <col min="16" max="16384" width="11.42578125" style="77"/>
  </cols>
  <sheetData/>
  <pageMargins left="0.7" right="0.7" top="0.75" bottom="0.75" header="0.3" footer="0.3"/>
  <pageSetup scale="77"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view="pageBreakPreview" zoomScale="85" zoomScaleNormal="100" zoomScaleSheetLayoutView="85" workbookViewId="0">
      <selection activeCell="N33" sqref="N33"/>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19.7109375" style="77" customWidth="1"/>
    <col min="15" max="16384" width="11.42578125" style="7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showGridLines="0" view="pageBreakPreview" zoomScale="85" zoomScaleNormal="100" zoomScaleSheetLayoutView="85" workbookViewId="0">
      <selection activeCell="O22" sqref="O22"/>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O3:O37"/>
  <sheetViews>
    <sheetView showGridLines="0" view="pageBreakPreview" zoomScale="85" zoomScaleNormal="100" zoomScaleSheetLayoutView="85" workbookViewId="0">
      <selection activeCell="N37" sqref="N37"/>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4" width="11.42578125" style="77"/>
    <col min="15" max="15" width="25.5703125" style="77" customWidth="1"/>
    <col min="16" max="16384" width="11.42578125" style="77"/>
  </cols>
  <sheetData>
    <row r="3" ht="27" customHeight="1"/>
    <row r="4" ht="17.25" customHeight="1"/>
    <row r="20" spans="15:15">
      <c r="O20" s="977"/>
    </row>
    <row r="29" spans="15:15">
      <c r="O29" s="927"/>
    </row>
    <row r="30" spans="15:15">
      <c r="O30" s="927"/>
    </row>
    <row r="34" spans="15:15">
      <c r="O34" s="927"/>
    </row>
    <row r="36" spans="15:15" ht="27" customHeight="1"/>
    <row r="37" spans="15:15" ht="31.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Q54"/>
  <sheetViews>
    <sheetView showGridLines="0" view="pageBreakPreview" topLeftCell="B1" zoomScale="55" zoomScaleNormal="100" zoomScaleSheetLayoutView="55" workbookViewId="0">
      <selection activeCell="G7" sqref="G7"/>
    </sheetView>
  </sheetViews>
  <sheetFormatPr baseColWidth="10" defaultColWidth="11.42578125" defaultRowHeight="20.25" customHeight="1"/>
  <cols>
    <col min="1" max="1" width="20" style="253" customWidth="1"/>
    <col min="2" max="2" width="20.28515625" style="77" customWidth="1"/>
    <col min="3" max="3" width="24" style="77" customWidth="1"/>
    <col min="4" max="4" width="26.7109375" style="77" customWidth="1"/>
    <col min="5" max="5" width="21.5703125" style="77" customWidth="1"/>
    <col min="6" max="6" width="25.7109375" style="77" customWidth="1"/>
    <col min="7" max="7" width="19.7109375" style="77" customWidth="1"/>
    <col min="8" max="8" width="15.42578125" style="77" customWidth="1"/>
    <col min="9" max="9" width="29.85546875" style="77" customWidth="1"/>
    <col min="10" max="12" width="18.42578125" style="77" customWidth="1"/>
    <col min="13" max="13" width="16.28515625" style="77" bestFit="1" customWidth="1"/>
    <col min="14" max="16384" width="11.42578125" style="77"/>
  </cols>
  <sheetData>
    <row r="1" spans="1:17" ht="105" customHeight="1">
      <c r="A1" s="1833"/>
      <c r="B1" s="1833"/>
      <c r="C1" s="1833"/>
      <c r="D1" s="1833"/>
      <c r="E1" s="1833"/>
      <c r="F1" s="1833"/>
      <c r="G1" s="1833"/>
      <c r="H1" s="1833"/>
      <c r="I1" s="1833"/>
      <c r="J1" s="1833"/>
      <c r="K1" s="1833"/>
      <c r="L1" s="1833"/>
      <c r="M1" s="1833"/>
      <c r="N1" s="1833"/>
      <c r="O1" s="1833"/>
      <c r="P1" s="1833"/>
    </row>
    <row r="2" spans="1:17" s="38" customFormat="1" ht="17.25" customHeight="1">
      <c r="A2" s="324"/>
      <c r="B2" s="324"/>
      <c r="C2" s="324"/>
      <c r="D2" s="324"/>
      <c r="E2" s="324"/>
      <c r="F2" s="324"/>
      <c r="G2" s="324"/>
      <c r="H2" s="324"/>
      <c r="I2" s="324"/>
      <c r="J2" s="324"/>
      <c r="K2" s="324"/>
      <c r="L2" s="324"/>
      <c r="M2" s="324"/>
    </row>
    <row r="3" spans="1:17" ht="63" customHeight="1">
      <c r="A3" s="313" t="s">
        <v>248</v>
      </c>
      <c r="B3" s="311" t="s">
        <v>685</v>
      </c>
      <c r="C3" s="311" t="s">
        <v>544</v>
      </c>
      <c r="D3" s="313" t="s">
        <v>543</v>
      </c>
    </row>
    <row r="4" spans="1:17" ht="20.25" hidden="1" customHeight="1">
      <c r="A4" s="314" t="s">
        <v>231</v>
      </c>
      <c r="B4" s="909">
        <v>53200</v>
      </c>
      <c r="C4" s="909">
        <f>+'[2]I.1.1 Cobertura SDSS '!E4</f>
        <v>8742318</v>
      </c>
      <c r="D4" s="910">
        <f t="shared" ref="D4:D16" si="0">B4/C4</f>
        <v>6.0853425830540596E-3</v>
      </c>
      <c r="E4" s="95"/>
    </row>
    <row r="5" spans="1:17" ht="20.25" hidden="1" customHeight="1">
      <c r="A5" s="314" t="s">
        <v>263</v>
      </c>
      <c r="B5" s="909">
        <v>64713</v>
      </c>
      <c r="C5" s="909">
        <f>+'[2]I.1.1 Cobertura SDSS '!E5</f>
        <v>8855026</v>
      </c>
      <c r="D5" s="910">
        <f t="shared" si="0"/>
        <v>7.3080530762981381E-3</v>
      </c>
      <c r="E5" s="95"/>
    </row>
    <row r="6" spans="1:17" ht="20.25" customHeight="1">
      <c r="A6" s="412" t="s">
        <v>262</v>
      </c>
      <c r="B6" s="911">
        <f>+'III.1.4.Afil. SFS'!E6</f>
        <v>253374</v>
      </c>
      <c r="C6" s="912">
        <v>8968144</v>
      </c>
      <c r="D6" s="913">
        <f t="shared" si="0"/>
        <v>2.8252668556615505E-2</v>
      </c>
      <c r="E6" s="95"/>
    </row>
    <row r="7" spans="1:17" ht="20.25" customHeight="1">
      <c r="A7" s="412" t="s">
        <v>261</v>
      </c>
      <c r="B7" s="914">
        <f>+'III.1.4.Afil. SFS'!E7</f>
        <v>514040</v>
      </c>
      <c r="C7" s="915">
        <v>9072308</v>
      </c>
      <c r="D7" s="916">
        <f t="shared" si="0"/>
        <v>5.666033384228137E-2</v>
      </c>
      <c r="E7" s="922"/>
      <c r="G7" s="152"/>
    </row>
    <row r="8" spans="1:17" ht="20.25" customHeight="1">
      <c r="A8" s="412" t="s">
        <v>177</v>
      </c>
      <c r="B8" s="914">
        <f>+'III.1.4.Afil. SFS'!E8</f>
        <v>2559117</v>
      </c>
      <c r="C8" s="915">
        <v>9175265</v>
      </c>
      <c r="D8" s="916">
        <f t="shared" si="0"/>
        <v>0.27891477793829389</v>
      </c>
      <c r="E8" s="95"/>
    </row>
    <row r="9" spans="1:17" ht="20.25" customHeight="1">
      <c r="A9" s="412" t="s">
        <v>232</v>
      </c>
      <c r="B9" s="914">
        <f>+'III.1.4.Afil. SFS'!E9</f>
        <v>2917157</v>
      </c>
      <c r="C9" s="915">
        <v>9277181</v>
      </c>
      <c r="D9" s="916">
        <f t="shared" si="0"/>
        <v>0.31444433389841159</v>
      </c>
      <c r="E9" s="95"/>
      <c r="F9" s="923"/>
    </row>
    <row r="10" spans="1:17" ht="20.25" customHeight="1">
      <c r="A10" s="412" t="s">
        <v>233</v>
      </c>
      <c r="B10" s="914">
        <f>+'III.1.4.Afil. SFS'!E10</f>
        <v>3514506</v>
      </c>
      <c r="C10" s="915">
        <v>9378455</v>
      </c>
      <c r="D10" s="916">
        <f t="shared" si="0"/>
        <v>0.37474253488447723</v>
      </c>
      <c r="E10" s="920"/>
      <c r="F10" s="95"/>
      <c r="G10" s="96"/>
      <c r="H10" s="96"/>
    </row>
    <row r="11" spans="1:17" ht="20.25" customHeight="1">
      <c r="A11" s="412" t="s">
        <v>196</v>
      </c>
      <c r="B11" s="914">
        <f>+'III.1.4.Afil. SFS'!E11</f>
        <v>4404974</v>
      </c>
      <c r="C11" s="915">
        <v>9478612</v>
      </c>
      <c r="D11" s="916">
        <f t="shared" si="0"/>
        <v>0.46472774705832459</v>
      </c>
      <c r="E11" s="95"/>
      <c r="F11" s="921"/>
      <c r="G11" s="113"/>
      <c r="H11" s="49"/>
      <c r="Q11" s="284"/>
    </row>
    <row r="12" spans="1:17" ht="20.25" customHeight="1">
      <c r="A12" s="412" t="s">
        <v>234</v>
      </c>
      <c r="B12" s="914">
        <f>+'III.1.4.Afil. SFS'!E12</f>
        <v>4550576</v>
      </c>
      <c r="C12" s="915">
        <v>9579983</v>
      </c>
      <c r="D12" s="916">
        <f t="shared" si="0"/>
        <v>0.47500877611160686</v>
      </c>
      <c r="E12" s="95"/>
      <c r="G12" s="96"/>
      <c r="H12" s="96"/>
    </row>
    <row r="13" spans="1:17" ht="20.25" customHeight="1">
      <c r="A13" s="413" t="s">
        <v>485</v>
      </c>
      <c r="B13" s="914">
        <f>+'III.1.4.Afil. SFS'!E13</f>
        <v>5022465</v>
      </c>
      <c r="C13" s="917">
        <v>9680534</v>
      </c>
      <c r="D13" s="918">
        <f t="shared" si="0"/>
        <v>0.51882106916829174</v>
      </c>
      <c r="E13" s="95"/>
      <c r="F13" s="95"/>
      <c r="G13" s="96"/>
      <c r="H13" s="96"/>
    </row>
    <row r="14" spans="1:17" ht="20.25" customHeight="1">
      <c r="A14" s="413" t="s">
        <v>573</v>
      </c>
      <c r="B14" s="914">
        <f>+'III.1.4.Afil. SFS'!E14</f>
        <v>5638332</v>
      </c>
      <c r="C14" s="917">
        <v>9780743</v>
      </c>
      <c r="D14" s="918">
        <f t="shared" si="0"/>
        <v>0.57647276899106747</v>
      </c>
      <c r="E14" s="95"/>
      <c r="F14" s="95"/>
      <c r="G14" s="96"/>
      <c r="H14" s="96"/>
      <c r="Q14" s="946"/>
    </row>
    <row r="15" spans="1:17" ht="20.25" customHeight="1">
      <c r="A15" s="413" t="s">
        <v>581</v>
      </c>
      <c r="B15" s="914">
        <f>+'III.1.4.Afil. SFS'!E15</f>
        <v>6187615</v>
      </c>
      <c r="C15" s="917">
        <v>9880505</v>
      </c>
      <c r="D15" s="918">
        <f t="shared" si="0"/>
        <v>0.6262448123856017</v>
      </c>
      <c r="E15" s="95"/>
      <c r="F15" s="95"/>
      <c r="G15" s="96"/>
      <c r="H15" s="96"/>
    </row>
    <row r="16" spans="1:17" ht="22.5" customHeight="1">
      <c r="A16" s="414" t="s">
        <v>946</v>
      </c>
      <c r="B16" s="1619">
        <f>+'III.1.4.Afil. SFS'!E16</f>
        <v>6358916</v>
      </c>
      <c r="C16" s="1620">
        <v>9930374</v>
      </c>
      <c r="D16" s="919">
        <f t="shared" si="0"/>
        <v>0.64035010161752215</v>
      </c>
      <c r="E16" s="96"/>
      <c r="F16" s="96"/>
      <c r="G16" s="96"/>
      <c r="H16" s="96"/>
      <c r="I16" s="96"/>
      <c r="J16" s="96"/>
      <c r="K16" s="96"/>
      <c r="L16" s="96"/>
      <c r="M16" s="96"/>
    </row>
    <row r="17" spans="1:13" ht="20.25" customHeight="1">
      <c r="A17" s="1310" t="s">
        <v>911</v>
      </c>
      <c r="B17" s="1310"/>
      <c r="C17" s="1310"/>
      <c r="D17" s="1310"/>
      <c r="E17" s="1310"/>
      <c r="F17" s="96"/>
      <c r="G17" s="96"/>
      <c r="H17" s="96"/>
      <c r="I17" s="96"/>
      <c r="J17" s="96"/>
      <c r="K17" s="96"/>
      <c r="L17" s="96"/>
      <c r="M17" s="96"/>
    </row>
    <row r="18" spans="1:13" ht="20.25" customHeight="1">
      <c r="A18" s="214"/>
      <c r="B18" s="17"/>
      <c r="C18" s="96"/>
      <c r="D18" s="96"/>
      <c r="E18" s="96"/>
      <c r="F18" s="96"/>
      <c r="G18" s="96"/>
      <c r="H18" s="96"/>
      <c r="I18" s="96"/>
      <c r="J18" s="96"/>
      <c r="K18" s="96"/>
      <c r="L18" s="96"/>
      <c r="M18" s="96"/>
    </row>
    <row r="20" spans="1:13" ht="20.25" customHeight="1">
      <c r="F20"/>
    </row>
    <row r="45" ht="27.75" customHeight="1"/>
    <row r="46" ht="24" customHeight="1"/>
    <row r="47" ht="80.25" customHeight="1"/>
    <row r="48" ht="25.5" customHeight="1"/>
    <row r="49" spans="1:7" ht="25.5" customHeight="1"/>
    <row r="50" spans="1:7" ht="25.5" customHeight="1"/>
    <row r="51" spans="1:7" ht="27.75" customHeight="1">
      <c r="A51" s="1832"/>
      <c r="B51" s="1832"/>
      <c r="C51" s="1832"/>
      <c r="D51" s="1832"/>
      <c r="E51" s="143"/>
      <c r="F51" s="143"/>
      <c r="G51" s="143"/>
    </row>
    <row r="52" spans="1:7" ht="24" customHeight="1">
      <c r="A52" s="1832"/>
      <c r="B52" s="1832"/>
      <c r="C52" s="1832"/>
      <c r="D52" s="1832"/>
      <c r="E52" s="143"/>
      <c r="F52" s="143"/>
      <c r="G52" s="143"/>
    </row>
    <row r="53" spans="1:7" ht="24" customHeight="1"/>
    <row r="54" spans="1:7" ht="26.25" customHeight="1"/>
  </sheetData>
  <mergeCells count="2">
    <mergeCell ref="A51:D52"/>
    <mergeCell ref="A1:P1"/>
  </mergeCells>
  <printOptions horizontalCentered="1" verticalCentered="1"/>
  <pageMargins left="0.39370078740157483" right="0.39370078740157483" top="0.39370078740157483" bottom="0.23622047244094491" header="0.23622047244094491" footer="0.31496062992125984"/>
  <pageSetup scale="41"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G96"/>
  <sheetViews>
    <sheetView showGridLines="0" view="pageBreakPreview" zoomScale="55" zoomScaleNormal="100" zoomScaleSheetLayoutView="55" zoomScalePageLayoutView="62" workbookViewId="0">
      <selection activeCell="L13" sqref="L13"/>
    </sheetView>
  </sheetViews>
  <sheetFormatPr baseColWidth="10" defaultColWidth="11.42578125" defaultRowHeight="15"/>
  <cols>
    <col min="1" max="1" width="18.42578125" style="77" customWidth="1"/>
    <col min="2" max="2" width="18" style="77" customWidth="1"/>
    <col min="3" max="3" width="20.7109375" style="77" customWidth="1"/>
    <col min="4" max="4" width="18" style="77" customWidth="1"/>
    <col min="5" max="5" width="21.7109375" style="77" customWidth="1"/>
    <col min="6" max="6" width="15" style="77" customWidth="1"/>
    <col min="7" max="7" width="13.85546875" style="77" customWidth="1"/>
    <col min="8" max="8" width="12.710937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9" width="24.7109375" style="77" customWidth="1"/>
    <col min="20" max="20" width="20.42578125" style="77" customWidth="1"/>
    <col min="21" max="21" width="14.7109375" style="77" customWidth="1"/>
    <col min="22" max="22" width="29.42578125" style="77" customWidth="1"/>
    <col min="23" max="23" width="25" style="77" customWidth="1"/>
    <col min="24" max="26" width="11.42578125" style="77"/>
    <col min="27" max="27" width="18.7109375" style="77" bestFit="1" customWidth="1"/>
    <col min="28" max="16384" width="11.42578125" style="77"/>
  </cols>
  <sheetData>
    <row r="1" spans="1:22" ht="98.25" customHeight="1">
      <c r="A1" s="1836"/>
      <c r="B1" s="1836"/>
      <c r="C1" s="1836"/>
      <c r="D1" s="1836"/>
      <c r="E1" s="1836"/>
      <c r="F1" s="1836"/>
      <c r="G1" s="1836"/>
      <c r="H1" s="1836"/>
      <c r="I1" s="1836"/>
      <c r="J1" s="1836"/>
      <c r="K1" s="1836"/>
      <c r="L1" s="1836"/>
      <c r="M1" s="1836"/>
      <c r="N1" s="1836"/>
      <c r="O1" s="1836"/>
      <c r="P1" s="1836"/>
      <c r="Q1" s="1836"/>
    </row>
    <row r="2" spans="1:22" ht="11.25" customHeight="1">
      <c r="A2" s="189"/>
      <c r="B2" s="189"/>
      <c r="C2" s="189"/>
      <c r="D2" s="189"/>
      <c r="E2" s="189"/>
      <c r="F2" s="189"/>
      <c r="G2" s="189"/>
      <c r="H2" s="189"/>
      <c r="I2" s="189"/>
      <c r="J2" s="189"/>
      <c r="K2" s="189"/>
      <c r="L2" s="189"/>
      <c r="M2" s="189"/>
      <c r="N2" s="189"/>
      <c r="O2" s="189"/>
      <c r="P2" s="189"/>
    </row>
    <row r="3" spans="1:22" ht="51" customHeight="1">
      <c r="A3" s="366" t="s">
        <v>248</v>
      </c>
      <c r="B3" s="311" t="s">
        <v>225</v>
      </c>
      <c r="C3" s="323" t="s">
        <v>583</v>
      </c>
      <c r="D3" s="311" t="s">
        <v>532</v>
      </c>
      <c r="E3" s="313" t="s">
        <v>562</v>
      </c>
      <c r="F3" s="311" t="s">
        <v>245</v>
      </c>
      <c r="G3" s="311" t="s">
        <v>246</v>
      </c>
      <c r="H3" s="312" t="s">
        <v>417</v>
      </c>
      <c r="I3" s="251"/>
      <c r="J3" s="251"/>
      <c r="K3" s="251"/>
      <c r="L3" s="251"/>
      <c r="M3" s="251"/>
      <c r="N3" s="251"/>
      <c r="O3" s="251"/>
      <c r="P3" s="252" t="s">
        <v>533</v>
      </c>
      <c r="Q3" s="61"/>
      <c r="R3" s="61"/>
      <c r="S3" s="24"/>
      <c r="T3" s="24"/>
      <c r="U3" s="24"/>
      <c r="V3" s="24"/>
    </row>
    <row r="4" spans="1:22" ht="25.5" hidden="1" customHeight="1">
      <c r="A4" s="314" t="s">
        <v>26</v>
      </c>
      <c r="B4" s="318"/>
      <c r="C4" s="319">
        <v>53200</v>
      </c>
      <c r="D4" s="320">
        <v>0</v>
      </c>
      <c r="E4" s="321">
        <f>B4+C4+D4</f>
        <v>53200</v>
      </c>
      <c r="F4" s="315"/>
      <c r="G4" s="316">
        <f t="shared" ref="G4:G12" si="0">C4/E4</f>
        <v>1</v>
      </c>
      <c r="H4" s="317"/>
      <c r="I4" s="246"/>
      <c r="J4" s="246"/>
      <c r="K4" s="246"/>
      <c r="L4" s="249"/>
      <c r="M4" s="247"/>
      <c r="N4" s="247"/>
      <c r="O4" s="248"/>
      <c r="P4" s="250">
        <f t="shared" ref="P4:P12" si="1">L4/E4</f>
        <v>0</v>
      </c>
      <c r="Q4" s="61"/>
      <c r="R4" s="61"/>
      <c r="S4" s="24"/>
      <c r="T4" s="24"/>
      <c r="U4" s="24"/>
      <c r="V4" s="24"/>
    </row>
    <row r="5" spans="1:22" ht="25.5" hidden="1" customHeight="1">
      <c r="A5" s="314" t="s">
        <v>27</v>
      </c>
      <c r="B5" s="319"/>
      <c r="C5" s="319">
        <v>64713</v>
      </c>
      <c r="D5" s="320">
        <v>0</v>
      </c>
      <c r="E5" s="321">
        <f>B5+C5+D5</f>
        <v>64713</v>
      </c>
      <c r="F5" s="315"/>
      <c r="G5" s="316">
        <f t="shared" si="0"/>
        <v>1</v>
      </c>
      <c r="H5" s="317"/>
      <c r="I5" s="246"/>
      <c r="J5" s="246"/>
      <c r="K5" s="246"/>
      <c r="L5" s="249"/>
      <c r="M5" s="247"/>
      <c r="N5" s="247"/>
      <c r="O5" s="248"/>
      <c r="P5" s="250">
        <f t="shared" si="1"/>
        <v>0</v>
      </c>
      <c r="Q5" s="61"/>
      <c r="R5" s="61"/>
      <c r="S5" s="24"/>
      <c r="T5" s="24"/>
      <c r="U5" s="24"/>
      <c r="V5" s="24"/>
    </row>
    <row r="6" spans="1:22" ht="25.5" customHeight="1">
      <c r="A6" s="356" t="s">
        <v>28</v>
      </c>
      <c r="B6" s="1033">
        <v>0</v>
      </c>
      <c r="C6" s="928">
        <f>+'III.3.2. Afil anual SFS RS '!D4</f>
        <v>253374</v>
      </c>
      <c r="D6" s="929">
        <v>0</v>
      </c>
      <c r="E6" s="364">
        <f>B6+C6+D6</f>
        <v>253374</v>
      </c>
      <c r="F6" s="1029">
        <v>0</v>
      </c>
      <c r="G6" s="359">
        <f t="shared" si="0"/>
        <v>1</v>
      </c>
      <c r="H6" s="360">
        <v>0</v>
      </c>
      <c r="I6" s="246"/>
      <c r="J6" s="246"/>
      <c r="K6" s="246"/>
      <c r="L6" s="249"/>
      <c r="M6" s="247"/>
      <c r="N6" s="247" t="s">
        <v>180</v>
      </c>
      <c r="O6" s="248"/>
      <c r="P6" s="250">
        <f t="shared" si="1"/>
        <v>0</v>
      </c>
      <c r="Q6" s="61"/>
      <c r="R6" s="61"/>
      <c r="S6" s="24"/>
      <c r="T6" s="24"/>
      <c r="U6" s="24"/>
      <c r="V6" s="24"/>
    </row>
    <row r="7" spans="1:22" ht="25.5" customHeight="1">
      <c r="A7" s="356" t="s">
        <v>29</v>
      </c>
      <c r="B7" s="1028">
        <v>0</v>
      </c>
      <c r="C7" s="357">
        <f>+'III.3.2. Afil anual SFS RS '!D5</f>
        <v>514040</v>
      </c>
      <c r="D7" s="931">
        <v>0</v>
      </c>
      <c r="E7" s="354">
        <f t="shared" ref="E7:E15" si="2">B7+C7+D7</f>
        <v>514040</v>
      </c>
      <c r="F7" s="1029">
        <v>0</v>
      </c>
      <c r="G7" s="359">
        <f t="shared" si="0"/>
        <v>1</v>
      </c>
      <c r="H7" s="360">
        <v>0</v>
      </c>
      <c r="I7" s="246"/>
      <c r="J7" s="246"/>
      <c r="K7" s="246"/>
      <c r="L7" s="249"/>
      <c r="M7" s="247"/>
      <c r="N7" s="247"/>
      <c r="O7" s="248"/>
      <c r="P7" s="250">
        <f t="shared" si="1"/>
        <v>0</v>
      </c>
      <c r="Q7" s="61"/>
      <c r="R7" s="61"/>
      <c r="S7" s="24"/>
      <c r="T7" s="24"/>
      <c r="U7" s="24"/>
      <c r="V7" s="24"/>
    </row>
    <row r="8" spans="1:22" ht="25.5" customHeight="1">
      <c r="A8" s="356" t="s">
        <v>30</v>
      </c>
      <c r="B8" s="930">
        <v>1477181</v>
      </c>
      <c r="C8" s="357">
        <f>+'III.3.2. Afil anual SFS RS '!D6</f>
        <v>1081936</v>
      </c>
      <c r="D8" s="931">
        <v>0</v>
      </c>
      <c r="E8" s="354">
        <f t="shared" si="2"/>
        <v>2559117</v>
      </c>
      <c r="F8" s="359">
        <f t="shared" ref="F8:F15" si="3">B8/E8</f>
        <v>0.57722292493856275</v>
      </c>
      <c r="G8" s="359">
        <f t="shared" si="0"/>
        <v>0.42277707506143719</v>
      </c>
      <c r="H8" s="360">
        <v>0</v>
      </c>
      <c r="I8" s="246"/>
      <c r="J8" s="246"/>
      <c r="K8" s="246"/>
      <c r="L8" s="249"/>
      <c r="M8" s="247"/>
      <c r="N8" s="247"/>
      <c r="O8" s="248"/>
      <c r="P8" s="250">
        <f t="shared" si="1"/>
        <v>0</v>
      </c>
      <c r="Q8" s="61"/>
      <c r="R8" s="61"/>
      <c r="S8" s="24"/>
      <c r="T8" s="24"/>
      <c r="U8" s="24"/>
      <c r="V8" s="24"/>
    </row>
    <row r="9" spans="1:22" ht="25.5" customHeight="1">
      <c r="A9" s="356" t="s">
        <v>31</v>
      </c>
      <c r="B9" s="930">
        <v>1692259</v>
      </c>
      <c r="C9" s="357">
        <f>+'III.3.2. Afil anual SFS RS '!D7</f>
        <v>1224898</v>
      </c>
      <c r="D9" s="931">
        <v>0</v>
      </c>
      <c r="E9" s="354">
        <f t="shared" si="2"/>
        <v>2917157</v>
      </c>
      <c r="F9" s="359">
        <f t="shared" si="3"/>
        <v>0.58010556168214467</v>
      </c>
      <c r="G9" s="359">
        <f t="shared" si="0"/>
        <v>0.41989443831785539</v>
      </c>
      <c r="H9" s="360">
        <v>0</v>
      </c>
      <c r="I9" s="246"/>
      <c r="J9" s="246"/>
      <c r="K9" s="246"/>
      <c r="L9" s="249"/>
      <c r="M9" s="247"/>
      <c r="N9" s="247"/>
      <c r="O9" s="248"/>
      <c r="P9" s="250">
        <f t="shared" si="1"/>
        <v>0</v>
      </c>
      <c r="Q9" s="61"/>
      <c r="R9" s="61"/>
      <c r="S9" s="24"/>
      <c r="T9" s="24"/>
      <c r="U9" s="24"/>
      <c r="V9" s="24"/>
    </row>
    <row r="10" spans="1:22" ht="25.5" customHeight="1">
      <c r="A10" s="356" t="s">
        <v>32</v>
      </c>
      <c r="B10" s="930">
        <v>2088299</v>
      </c>
      <c r="C10" s="357">
        <f>+'III.3.2. Afil anual SFS RS '!D8</f>
        <v>1404225</v>
      </c>
      <c r="D10" s="932">
        <v>21982</v>
      </c>
      <c r="E10" s="354">
        <f t="shared" si="2"/>
        <v>3514506</v>
      </c>
      <c r="F10" s="359">
        <f t="shared" si="3"/>
        <v>0.59419417693411247</v>
      </c>
      <c r="G10" s="359">
        <f t="shared" si="0"/>
        <v>0.39955117447516092</v>
      </c>
      <c r="H10" s="361">
        <f t="shared" ref="H10:H16" si="4">D10/E10</f>
        <v>6.2546485907265491E-3</v>
      </c>
      <c r="I10" s="246"/>
      <c r="J10" s="246"/>
      <c r="K10" s="246"/>
      <c r="L10" s="249"/>
      <c r="M10" s="247"/>
      <c r="N10" s="247"/>
      <c r="O10" s="247"/>
      <c r="P10" s="250">
        <f t="shared" si="1"/>
        <v>0</v>
      </c>
      <c r="Q10" s="61"/>
      <c r="R10" s="61"/>
      <c r="S10" s="24"/>
      <c r="T10" s="24"/>
      <c r="U10" s="24"/>
      <c r="V10" s="24"/>
    </row>
    <row r="11" spans="1:22" ht="25.5" customHeight="1">
      <c r="A11" s="356" t="s">
        <v>195</v>
      </c>
      <c r="B11" s="930">
        <v>2364083</v>
      </c>
      <c r="C11" s="357">
        <f>+'III.3.2. Afil anual SFS RS '!D9</f>
        <v>2013786</v>
      </c>
      <c r="D11" s="932">
        <v>27105</v>
      </c>
      <c r="E11" s="354">
        <f t="shared" si="2"/>
        <v>4404974</v>
      </c>
      <c r="F11" s="359">
        <f t="shared" si="3"/>
        <v>0.53668489303228573</v>
      </c>
      <c r="G11" s="359">
        <f t="shared" si="0"/>
        <v>0.45716183568847396</v>
      </c>
      <c r="H11" s="361">
        <f t="shared" si="4"/>
        <v>6.1532712792402404E-3</v>
      </c>
      <c r="I11" s="246"/>
      <c r="J11" s="246"/>
      <c r="K11" s="246"/>
      <c r="L11" s="249"/>
      <c r="M11" s="247"/>
      <c r="N11" s="247"/>
      <c r="O11" s="247"/>
      <c r="P11" s="250">
        <f t="shared" si="1"/>
        <v>0</v>
      </c>
      <c r="Q11" s="61"/>
      <c r="R11" s="61"/>
      <c r="S11" s="24"/>
      <c r="T11" s="24"/>
      <c r="U11" s="24"/>
      <c r="V11" s="24"/>
    </row>
    <row r="12" spans="1:22" ht="25.5" customHeight="1">
      <c r="A12" s="356" t="s">
        <v>241</v>
      </c>
      <c r="B12" s="930">
        <v>2517423</v>
      </c>
      <c r="C12" s="357">
        <f>+'III.3.2. Afil anual SFS RS '!D10</f>
        <v>2003427</v>
      </c>
      <c r="D12" s="932">
        <v>29726</v>
      </c>
      <c r="E12" s="354">
        <f t="shared" si="2"/>
        <v>4550576</v>
      </c>
      <c r="F12" s="359">
        <f t="shared" si="3"/>
        <v>0.55320974751328178</v>
      </c>
      <c r="G12" s="359">
        <f t="shared" si="0"/>
        <v>0.44025789262721904</v>
      </c>
      <c r="H12" s="361">
        <f t="shared" si="4"/>
        <v>6.5323598594991053E-3</v>
      </c>
      <c r="I12" s="246"/>
      <c r="J12" s="246"/>
      <c r="K12" s="924"/>
      <c r="L12" s="249"/>
      <c r="M12" s="247"/>
      <c r="N12" s="247"/>
      <c r="O12" s="247"/>
      <c r="P12" s="250">
        <f t="shared" si="1"/>
        <v>0</v>
      </c>
      <c r="Q12" s="61"/>
      <c r="R12" s="61"/>
      <c r="S12" s="24"/>
      <c r="T12" s="24"/>
      <c r="U12" s="24"/>
      <c r="V12" s="24"/>
    </row>
    <row r="13" spans="1:22" ht="25.5" customHeight="1">
      <c r="A13" s="356" t="s">
        <v>484</v>
      </c>
      <c r="B13" s="930">
        <v>2688411</v>
      </c>
      <c r="C13" s="357">
        <f>+'III.3.2. Afil anual SFS RS '!D11</f>
        <v>2303351</v>
      </c>
      <c r="D13" s="932">
        <v>30703</v>
      </c>
      <c r="E13" s="354">
        <f t="shared" si="2"/>
        <v>5022465</v>
      </c>
      <c r="F13" s="359">
        <f t="shared" si="3"/>
        <v>0.53527719954245578</v>
      </c>
      <c r="G13" s="359">
        <f>C13/E13</f>
        <v>0.45860966676721493</v>
      </c>
      <c r="H13" s="361">
        <f t="shared" si="4"/>
        <v>6.1131336903293499E-3</v>
      </c>
      <c r="I13" s="246"/>
      <c r="J13" s="246"/>
      <c r="K13" s="246"/>
      <c r="L13" s="249"/>
      <c r="M13" s="247"/>
      <c r="N13" s="247"/>
      <c r="O13" s="247"/>
      <c r="P13" s="250"/>
      <c r="Q13" s="61"/>
      <c r="R13" s="61"/>
      <c r="S13" s="24"/>
      <c r="T13" s="24"/>
      <c r="U13" s="24"/>
      <c r="V13" s="24"/>
    </row>
    <row r="14" spans="1:22" ht="25.5" customHeight="1">
      <c r="A14" s="356" t="s">
        <v>565</v>
      </c>
      <c r="B14" s="930">
        <v>2859306</v>
      </c>
      <c r="C14" s="357">
        <f>+'III.3.2. Afil anual SFS RS '!D12</f>
        <v>2751753</v>
      </c>
      <c r="D14" s="932">
        <v>27273</v>
      </c>
      <c r="E14" s="354">
        <f t="shared" si="2"/>
        <v>5638332</v>
      </c>
      <c r="F14" s="359">
        <f t="shared" si="3"/>
        <v>0.50711912672045567</v>
      </c>
      <c r="G14" s="359">
        <f>C14/E14</f>
        <v>0.48804380444429307</v>
      </c>
      <c r="H14" s="361">
        <f t="shared" si="4"/>
        <v>4.8370688352512761E-3</v>
      </c>
      <c r="I14" s="246"/>
      <c r="J14" s="246"/>
      <c r="K14" s="246"/>
      <c r="L14" s="249"/>
      <c r="M14" s="247"/>
      <c r="N14" s="247"/>
      <c r="O14" s="247"/>
      <c r="P14" s="250"/>
      <c r="Q14" s="61"/>
      <c r="R14" s="61"/>
      <c r="S14" s="24"/>
      <c r="T14" s="24"/>
      <c r="U14" s="24"/>
      <c r="V14" s="24"/>
    </row>
    <row r="15" spans="1:22" ht="25.5" customHeight="1">
      <c r="A15" s="356" t="s">
        <v>582</v>
      </c>
      <c r="B15" s="930">
        <v>3141599</v>
      </c>
      <c r="C15" s="357">
        <f>+'III.3.2. Afil anual SFS RS '!D13</f>
        <v>3015646</v>
      </c>
      <c r="D15" s="932">
        <v>30370</v>
      </c>
      <c r="E15" s="354">
        <f t="shared" si="2"/>
        <v>6187615</v>
      </c>
      <c r="F15" s="359">
        <f t="shared" si="3"/>
        <v>0.50772373523562797</v>
      </c>
      <c r="G15" s="359">
        <f>C15/E15</f>
        <v>0.48736807315904429</v>
      </c>
      <c r="H15" s="361">
        <f t="shared" si="4"/>
        <v>4.9081916053277394E-3</v>
      </c>
      <c r="I15" s="246"/>
      <c r="J15" s="246"/>
      <c r="K15" s="246"/>
      <c r="L15" s="249"/>
      <c r="M15" s="247"/>
      <c r="N15" s="247"/>
      <c r="O15" s="247"/>
      <c r="P15" s="250"/>
      <c r="Q15" s="61"/>
      <c r="R15" s="61"/>
      <c r="S15" s="24"/>
      <c r="T15" s="24"/>
      <c r="U15" s="24"/>
      <c r="V15" s="24"/>
    </row>
    <row r="16" spans="1:22" ht="25.5" customHeight="1">
      <c r="A16" s="358" t="s">
        <v>947</v>
      </c>
      <c r="B16" s="1621">
        <v>3284981</v>
      </c>
      <c r="C16" s="1622">
        <v>3043353</v>
      </c>
      <c r="D16" s="1623">
        <v>30582</v>
      </c>
      <c r="E16" s="365">
        <f>B16+C16+D16</f>
        <v>6358916</v>
      </c>
      <c r="F16" s="362">
        <f>B16/E16</f>
        <v>0.5165944950365754</v>
      </c>
      <c r="G16" s="362">
        <f>C16/E16</f>
        <v>0.47859619469733522</v>
      </c>
      <c r="H16" s="363">
        <f t="shared" si="4"/>
        <v>4.8093102660893778E-3</v>
      </c>
      <c r="I16" s="246"/>
      <c r="J16" s="246"/>
      <c r="K16" s="246"/>
      <c r="L16" s="249"/>
      <c r="M16" s="247"/>
      <c r="N16" s="247"/>
      <c r="O16" s="247"/>
      <c r="P16" s="250">
        <f>L16/E16</f>
        <v>0</v>
      </c>
      <c r="Q16" s="61"/>
      <c r="R16" s="61"/>
      <c r="S16" s="24"/>
      <c r="T16" s="24"/>
      <c r="U16" s="24"/>
      <c r="V16" s="24"/>
    </row>
    <row r="17" spans="1:33" ht="23.25" customHeight="1">
      <c r="A17" s="1835" t="s">
        <v>601</v>
      </c>
      <c r="B17" s="1835"/>
      <c r="C17" s="1835"/>
      <c r="D17" s="1835"/>
      <c r="E17" s="1835"/>
      <c r="F17" s="1835"/>
      <c r="G17" s="1835"/>
      <c r="H17" s="1835"/>
      <c r="I17" s="1835"/>
      <c r="J17" s="1835"/>
      <c r="K17" s="1835"/>
      <c r="L17" s="1835"/>
      <c r="M17" s="1835"/>
      <c r="N17" s="1835"/>
      <c r="O17" s="1835"/>
      <c r="P17" s="1835"/>
      <c r="Q17" s="61"/>
      <c r="R17" s="61"/>
      <c r="S17" s="24"/>
      <c r="T17" s="24"/>
      <c r="U17" s="24"/>
      <c r="V17" s="24"/>
    </row>
    <row r="18" spans="1:33" ht="25.5" customHeight="1">
      <c r="A18" s="31"/>
      <c r="B18" s="31"/>
      <c r="C18" s="31"/>
      <c r="D18" s="31"/>
      <c r="E18" s="31"/>
      <c r="F18" s="31"/>
      <c r="G18" s="31"/>
      <c r="H18" s="31"/>
      <c r="I18" s="31"/>
      <c r="J18" s="31"/>
      <c r="K18" s="31"/>
      <c r="L18" s="31"/>
      <c r="M18" s="31"/>
      <c r="N18" s="31"/>
      <c r="O18" s="31"/>
      <c r="P18" s="31"/>
      <c r="R18" s="61"/>
      <c r="S18" s="24"/>
      <c r="T18" s="24"/>
      <c r="U18" s="24"/>
      <c r="V18" s="24"/>
    </row>
    <row r="19" spans="1:33" ht="25.5" customHeight="1">
      <c r="A19" s="31"/>
      <c r="B19" s="31"/>
      <c r="C19" s="31"/>
      <c r="D19" s="31"/>
      <c r="E19" s="31"/>
      <c r="F19" s="31"/>
      <c r="G19" s="31"/>
      <c r="H19" s="31"/>
      <c r="I19" s="31"/>
      <c r="J19" s="31"/>
      <c r="K19" s="31"/>
      <c r="L19" s="31"/>
      <c r="M19" s="31"/>
      <c r="N19" s="31"/>
      <c r="O19" s="31"/>
      <c r="P19" s="31"/>
      <c r="Q19" s="31"/>
      <c r="R19" s="61"/>
      <c r="S19" s="24"/>
      <c r="T19" s="24"/>
      <c r="U19" s="24"/>
      <c r="V19" s="24"/>
    </row>
    <row r="20" spans="1:33" ht="25.5" customHeight="1">
      <c r="A20" s="31"/>
      <c r="B20" s="31"/>
      <c r="C20" s="31"/>
      <c r="D20" s="31"/>
      <c r="E20" s="31"/>
      <c r="F20" s="31"/>
      <c r="G20" s="31"/>
      <c r="H20" s="31"/>
      <c r="I20" s="31"/>
      <c r="J20" s="31"/>
      <c r="K20" s="31"/>
      <c r="L20" s="31"/>
      <c r="M20" s="31"/>
      <c r="N20" s="31"/>
      <c r="O20" s="31"/>
      <c r="P20" s="31"/>
      <c r="Q20" s="31"/>
      <c r="R20" s="61"/>
      <c r="S20" s="24"/>
      <c r="T20" s="24"/>
      <c r="U20" s="24"/>
      <c r="V20" s="24"/>
      <c r="AG20" s="77" t="s">
        <v>33</v>
      </c>
    </row>
    <row r="21" spans="1:33" ht="25.5" customHeight="1">
      <c r="A21" s="31"/>
      <c r="B21" s="31"/>
      <c r="C21" s="31"/>
      <c r="D21" s="31"/>
      <c r="E21" s="31"/>
      <c r="F21" s="31"/>
      <c r="G21" s="31"/>
      <c r="H21" s="31"/>
      <c r="I21" s="31"/>
      <c r="J21" s="31"/>
      <c r="K21" s="31"/>
      <c r="L21" s="31"/>
      <c r="M21" s="31"/>
      <c r="N21" s="31"/>
      <c r="O21" s="31"/>
      <c r="P21" s="31"/>
      <c r="Q21" s="31"/>
      <c r="R21" s="61"/>
      <c r="S21" s="24"/>
      <c r="T21" s="24"/>
      <c r="U21" s="24"/>
      <c r="V21" s="24"/>
    </row>
    <row r="22" spans="1:33" ht="25.5" customHeight="1">
      <c r="A22" s="31"/>
      <c r="B22" s="31"/>
      <c r="C22" s="31"/>
      <c r="D22" s="31"/>
      <c r="E22" s="31"/>
      <c r="F22" s="31"/>
      <c r="G22" s="31"/>
      <c r="H22" s="31"/>
      <c r="I22" s="31"/>
      <c r="J22" s="31"/>
      <c r="K22" s="31"/>
      <c r="L22" s="31"/>
      <c r="M22" s="31"/>
      <c r="N22" s="31"/>
      <c r="O22" s="31"/>
      <c r="P22" s="31"/>
      <c r="Q22" s="31"/>
      <c r="R22" s="61"/>
      <c r="S22" s="24"/>
      <c r="T22" s="24"/>
      <c r="U22" s="24"/>
      <c r="V22" s="24"/>
    </row>
    <row r="23" spans="1:33" ht="25.5" customHeight="1">
      <c r="A23" s="31"/>
      <c r="B23" s="31"/>
      <c r="C23" s="31"/>
      <c r="D23" s="31"/>
      <c r="E23" s="31"/>
      <c r="F23" s="31"/>
      <c r="G23" s="31"/>
      <c r="H23" s="31"/>
      <c r="I23" s="31"/>
      <c r="J23" s="31"/>
      <c r="K23" s="31"/>
      <c r="L23" s="31"/>
      <c r="M23" s="31"/>
      <c r="N23" s="31"/>
      <c r="O23" s="31"/>
      <c r="P23" s="31"/>
      <c r="Q23" s="31"/>
      <c r="R23" s="61"/>
      <c r="S23" s="24"/>
      <c r="T23" s="24"/>
      <c r="U23" s="24"/>
      <c r="V23" s="24"/>
    </row>
    <row r="24" spans="1:33" ht="25.5" customHeight="1">
      <c r="A24" s="31"/>
      <c r="B24" s="31"/>
      <c r="C24" s="31"/>
      <c r="D24" s="31"/>
      <c r="E24" s="31"/>
      <c r="F24" s="31"/>
      <c r="G24" s="31"/>
      <c r="H24" s="31"/>
      <c r="I24" s="31"/>
      <c r="J24" s="31"/>
      <c r="K24" s="31"/>
      <c r="L24" s="31"/>
      <c r="M24" s="31"/>
      <c r="N24" s="31"/>
      <c r="O24" s="31"/>
      <c r="P24" s="31"/>
      <c r="Q24" s="31"/>
      <c r="R24" s="61"/>
      <c r="S24" s="24"/>
      <c r="T24" s="24"/>
      <c r="U24" s="24"/>
      <c r="V24" s="24"/>
    </row>
    <row r="25" spans="1:33" ht="25.5" customHeight="1">
      <c r="A25" s="31"/>
      <c r="B25" s="31"/>
      <c r="C25" s="31"/>
      <c r="D25" s="31"/>
      <c r="E25" s="31"/>
      <c r="F25" s="31"/>
      <c r="G25" s="31"/>
      <c r="H25" s="31"/>
      <c r="I25" s="31"/>
      <c r="J25" s="31"/>
      <c r="K25" s="31"/>
      <c r="L25" s="31"/>
      <c r="M25" s="31"/>
      <c r="N25" s="31"/>
      <c r="O25" s="31"/>
      <c r="P25" s="31"/>
      <c r="Q25" s="31"/>
      <c r="R25" s="61"/>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6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c r="W32" s="77" t="s">
        <v>33</v>
      </c>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ht="25.5" customHeight="1">
      <c r="A38" s="31"/>
      <c r="B38" s="31"/>
      <c r="C38" s="31"/>
      <c r="D38" s="31"/>
      <c r="E38" s="31"/>
      <c r="F38" s="31"/>
      <c r="G38" s="31"/>
      <c r="H38" s="31"/>
      <c r="I38" s="31"/>
      <c r="J38" s="31"/>
      <c r="K38" s="31"/>
      <c r="L38" s="31"/>
      <c r="M38" s="31"/>
      <c r="N38" s="31"/>
      <c r="O38" s="31"/>
      <c r="P38" s="31"/>
      <c r="Q38" s="31"/>
      <c r="R38" s="31"/>
      <c r="S38" s="31"/>
      <c r="T38" s="31"/>
      <c r="U38" s="31"/>
      <c r="V38" s="31"/>
    </row>
    <row r="39" spans="1:28" ht="25.5" customHeight="1">
      <c r="A39" s="31"/>
      <c r="B39" s="31"/>
      <c r="C39" s="31"/>
      <c r="D39" s="31"/>
      <c r="E39" s="31"/>
      <c r="F39" s="31"/>
      <c r="G39" s="31"/>
      <c r="H39" s="31"/>
      <c r="I39" s="31"/>
      <c r="J39" s="31"/>
      <c r="K39" s="31"/>
      <c r="L39" s="31"/>
      <c r="M39" s="31"/>
      <c r="N39" s="31"/>
      <c r="O39" s="31"/>
      <c r="P39" s="31"/>
      <c r="Q39" s="31"/>
      <c r="R39" s="31"/>
      <c r="S39" s="31"/>
      <c r="T39" s="31"/>
      <c r="U39" s="31"/>
      <c r="V39" s="31"/>
    </row>
    <row r="40" spans="1:28">
      <c r="S40" s="95"/>
      <c r="T40" s="95"/>
      <c r="U40" s="95"/>
      <c r="V40" s="95"/>
      <c r="W40" s="96"/>
      <c r="X40" s="96"/>
      <c r="Y40" s="96"/>
      <c r="Z40" s="96"/>
      <c r="AA40" s="96"/>
      <c r="AB40" s="96"/>
    </row>
    <row r="41" spans="1:28">
      <c r="S41" s="95"/>
      <c r="T41" s="95"/>
      <c r="U41" s="95"/>
      <c r="V41" s="95"/>
      <c r="W41" s="96"/>
      <c r="X41" s="96"/>
      <c r="Y41" s="96"/>
      <c r="Z41" s="96"/>
      <c r="AA41" s="96"/>
      <c r="AB41" s="96"/>
    </row>
    <row r="42" spans="1:28">
      <c r="S42" s="95"/>
      <c r="T42" s="95"/>
      <c r="U42" s="95"/>
      <c r="V42" s="95"/>
      <c r="W42" s="96"/>
      <c r="X42" s="96"/>
      <c r="Y42" s="96"/>
      <c r="Z42" s="96"/>
      <c r="AA42" s="96"/>
      <c r="AB42" s="96"/>
    </row>
    <row r="43" spans="1:28">
      <c r="S43" s="95"/>
      <c r="T43" s="95"/>
      <c r="U43" s="95"/>
      <c r="V43" s="95"/>
      <c r="W43" s="96"/>
      <c r="X43" s="96"/>
      <c r="Y43" s="96"/>
      <c r="Z43" s="96"/>
      <c r="AA43" s="96"/>
      <c r="AB43" s="96"/>
    </row>
    <row r="44" spans="1:28" ht="51" customHeight="1">
      <c r="S44" s="95"/>
      <c r="T44" s="95"/>
      <c r="U44" s="95"/>
      <c r="V44" s="95"/>
      <c r="W44" s="96"/>
      <c r="X44" s="96"/>
      <c r="Y44" s="96"/>
      <c r="Z44" s="96"/>
      <c r="AA44" s="96"/>
      <c r="AB44" s="96"/>
    </row>
    <row r="45" spans="1:28" ht="78" customHeight="1">
      <c r="A45" s="1834"/>
      <c r="B45" s="1834"/>
      <c r="C45" s="1834"/>
      <c r="D45" s="1834"/>
      <c r="E45" s="1834"/>
      <c r="F45" s="1834"/>
      <c r="G45" s="1834"/>
      <c r="H45" s="1834"/>
      <c r="I45" s="1834"/>
      <c r="J45" s="1834"/>
      <c r="K45" s="1834"/>
      <c r="L45" s="1834"/>
      <c r="M45" s="1834"/>
      <c r="N45" s="1834"/>
      <c r="O45" s="1834"/>
      <c r="P45" s="1834"/>
      <c r="Q45" s="1834"/>
      <c r="R45" s="1834"/>
      <c r="S45" s="1834"/>
      <c r="T45" s="1834"/>
      <c r="U45" s="1834"/>
      <c r="V45" s="1834"/>
      <c r="W45" s="1834"/>
      <c r="X45" s="1834"/>
      <c r="Y45" s="1834"/>
      <c r="Z45" s="96"/>
      <c r="AA45" s="96"/>
      <c r="AB45" s="96"/>
    </row>
    <row r="46" spans="1:28">
      <c r="S46" s="96"/>
      <c r="T46" s="96"/>
      <c r="U46" s="96"/>
      <c r="V46" s="96"/>
      <c r="W46" s="96"/>
    </row>
    <row r="47" spans="1:28">
      <c r="S47" s="96"/>
      <c r="T47" s="96"/>
      <c r="U47" s="96"/>
      <c r="V47" s="96"/>
      <c r="W47" s="96"/>
    </row>
    <row r="48" spans="1:28">
      <c r="S48" s="96"/>
      <c r="T48" s="96"/>
      <c r="U48" s="96"/>
      <c r="V48" s="96"/>
      <c r="W48" s="96"/>
    </row>
    <row r="49" spans="2:30">
      <c r="S49" s="96"/>
      <c r="T49" s="96"/>
      <c r="U49" s="96"/>
      <c r="V49" s="96"/>
      <c r="W49" s="96"/>
    </row>
    <row r="50" spans="2:30">
      <c r="S50" s="96"/>
      <c r="T50" s="96"/>
      <c r="U50" s="96"/>
      <c r="V50" s="96"/>
      <c r="W50" s="96"/>
    </row>
    <row r="51" spans="2:30">
      <c r="S51" s="96"/>
      <c r="T51" s="96"/>
      <c r="U51" s="96"/>
      <c r="V51" s="96"/>
      <c r="W51" s="96"/>
      <c r="X51" s="96"/>
      <c r="Y51" s="96"/>
      <c r="Z51" s="96"/>
      <c r="AA51" s="96"/>
      <c r="AB51" s="96"/>
      <c r="AC51" s="96"/>
      <c r="AD51" s="96"/>
    </row>
    <row r="52" spans="2:30">
      <c r="S52" s="96"/>
      <c r="T52" s="96"/>
      <c r="U52" s="96"/>
      <c r="V52" s="96"/>
      <c r="W52" s="96"/>
      <c r="X52" s="96"/>
      <c r="Y52" s="96"/>
      <c r="Z52" s="96"/>
      <c r="AA52" s="96"/>
      <c r="AB52" s="96"/>
      <c r="AC52" s="96"/>
      <c r="AD52" s="96"/>
    </row>
    <row r="53" spans="2:30">
      <c r="S53" s="96"/>
      <c r="T53" s="96"/>
      <c r="U53" s="96"/>
      <c r="V53" s="96"/>
      <c r="W53" s="96"/>
      <c r="X53" s="96"/>
      <c r="Y53" s="96"/>
      <c r="Z53" s="96"/>
      <c r="AA53" s="96"/>
      <c r="AB53" s="96"/>
      <c r="AC53" s="96"/>
      <c r="AD53" s="96"/>
    </row>
    <row r="54" spans="2:30">
      <c r="S54" s="96"/>
      <c r="T54" s="96"/>
      <c r="U54" s="96"/>
      <c r="V54" s="96"/>
      <c r="W54" s="96"/>
      <c r="X54" s="96"/>
      <c r="Y54" s="96"/>
      <c r="Z54" s="96"/>
      <c r="AA54" s="96"/>
      <c r="AB54" s="96"/>
      <c r="AC54" s="96"/>
      <c r="AD54" s="96"/>
    </row>
    <row r="55" spans="2:30">
      <c r="S55" s="96"/>
      <c r="T55" s="96"/>
      <c r="U55" s="96"/>
      <c r="V55" s="96"/>
      <c r="W55" s="96"/>
      <c r="X55" s="96"/>
      <c r="Y55" s="96"/>
      <c r="Z55" s="96"/>
      <c r="AA55" s="96"/>
      <c r="AB55" s="96"/>
      <c r="AC55" s="96"/>
      <c r="AD55" s="96"/>
    </row>
    <row r="56" spans="2:30">
      <c r="S56" s="96"/>
      <c r="T56" s="96"/>
      <c r="U56" s="96"/>
      <c r="V56" s="96"/>
      <c r="W56" s="96"/>
      <c r="X56" s="96"/>
      <c r="Y56" s="96"/>
      <c r="Z56" s="96"/>
      <c r="AA56" s="96"/>
      <c r="AB56" s="96"/>
      <c r="AC56" s="96"/>
      <c r="AD56" s="96"/>
    </row>
    <row r="57" spans="2:30">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row>
    <row r="76" spans="24:24">
      <c r="X76" s="96"/>
    </row>
    <row r="77" spans="24:24">
      <c r="X77" s="96"/>
    </row>
    <row r="78" spans="24:24">
      <c r="X78" s="96"/>
    </row>
    <row r="79" spans="24:24">
      <c r="X79" s="96"/>
    </row>
    <row r="80" spans="24:24">
      <c r="X80" s="96"/>
    </row>
    <row r="81" spans="24:24">
      <c r="X81" s="96"/>
    </row>
    <row r="82" spans="24:24">
      <c r="X82" s="96"/>
    </row>
    <row r="83" spans="24:24">
      <c r="X83" s="96"/>
    </row>
    <row r="93" spans="24:24">
      <c r="X93" s="96"/>
    </row>
    <row r="94" spans="24:24">
      <c r="X94" s="96"/>
    </row>
    <row r="95" spans="24:24">
      <c r="X95" s="96"/>
    </row>
    <row r="96" spans="24:24">
      <c r="X96" s="96"/>
    </row>
  </sheetData>
  <mergeCells count="3">
    <mergeCell ref="A45:Y45"/>
    <mergeCell ref="A17:P17"/>
    <mergeCell ref="A1:Q1"/>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5:XFD193"/>
  <sheetViews>
    <sheetView showGridLines="0" view="pageBreakPreview" zoomScale="115" zoomScaleNormal="100" zoomScaleSheetLayoutView="115" workbookViewId="0">
      <pane ySplit="3" topLeftCell="A58" activePane="bottomLeft" state="frozen"/>
      <selection pane="bottomLeft" activeCell="A58" sqref="A58"/>
    </sheetView>
  </sheetViews>
  <sheetFormatPr baseColWidth="10" defaultRowHeight="15"/>
  <cols>
    <col min="1" max="1" width="115.5703125" customWidth="1"/>
  </cols>
  <sheetData>
    <row r="5" spans="1:1">
      <c r="A5" s="50" t="s">
        <v>665</v>
      </c>
    </row>
    <row r="6" spans="1:1" s="77" customFormat="1" ht="3" customHeight="1">
      <c r="A6" s="50"/>
    </row>
    <row r="7" spans="1:1" s="77" customFormat="1">
      <c r="A7" s="1297" t="s">
        <v>652</v>
      </c>
    </row>
    <row r="8" spans="1:1">
      <c r="A8" s="1297" t="s">
        <v>653</v>
      </c>
    </row>
    <row r="9" spans="1:1" ht="14.25" customHeight="1">
      <c r="A9" s="1297" t="s">
        <v>654</v>
      </c>
    </row>
    <row r="10" spans="1:1" ht="15" customHeight="1">
      <c r="A10" s="1297" t="s">
        <v>655</v>
      </c>
    </row>
    <row r="11" spans="1:1" ht="6" customHeight="1" collapsed="1"/>
    <row r="12" spans="1:1" ht="22.5" customHeight="1">
      <c r="A12" s="972" t="s">
        <v>668</v>
      </c>
    </row>
    <row r="13" spans="1:1" ht="20.25" customHeight="1">
      <c r="A13" s="1297" t="s">
        <v>881</v>
      </c>
    </row>
    <row r="14" spans="1:1" s="77" customFormat="1">
      <c r="A14" s="1297" t="s">
        <v>794</v>
      </c>
    </row>
    <row r="15" spans="1:1">
      <c r="A15" s="1297" t="s">
        <v>786</v>
      </c>
    </row>
    <row r="16" spans="1:1">
      <c r="A16" s="1297" t="s">
        <v>787</v>
      </c>
    </row>
    <row r="17" spans="1:1">
      <c r="A17" s="1297" t="s">
        <v>788</v>
      </c>
    </row>
    <row r="18" spans="1:1" s="77" customFormat="1" collapsed="1">
      <c r="A18" s="1297" t="s">
        <v>789</v>
      </c>
    </row>
    <row r="19" spans="1:1" s="77" customFormat="1">
      <c r="A19" s="973"/>
    </row>
    <row r="20" spans="1:1">
      <c r="A20" s="972" t="s">
        <v>646</v>
      </c>
    </row>
    <row r="21" spans="1:1" s="77" customFormat="1" ht="3.75" customHeight="1">
      <c r="A21" s="972"/>
    </row>
    <row r="22" spans="1:1">
      <c r="A22" s="974" t="s">
        <v>645</v>
      </c>
    </row>
    <row r="23" spans="1:1" s="77" customFormat="1" ht="6" customHeight="1">
      <c r="A23" s="974"/>
    </row>
    <row r="24" spans="1:1">
      <c r="A24" s="1298" t="s">
        <v>795</v>
      </c>
    </row>
    <row r="25" spans="1:1">
      <c r="A25" s="1298" t="s">
        <v>793</v>
      </c>
    </row>
    <row r="26" spans="1:1">
      <c r="A26" s="1298" t="s">
        <v>647</v>
      </c>
    </row>
    <row r="27" spans="1:1">
      <c r="A27" s="1298" t="s">
        <v>648</v>
      </c>
    </row>
    <row r="28" spans="1:1">
      <c r="A28" s="1298" t="s">
        <v>649</v>
      </c>
    </row>
    <row r="29" spans="1:1" s="77" customFormat="1">
      <c r="A29" s="1298" t="s">
        <v>791</v>
      </c>
    </row>
    <row r="30" spans="1:1">
      <c r="A30" s="1298" t="s">
        <v>792</v>
      </c>
    </row>
    <row r="31" spans="1:1" ht="14.25" customHeight="1"/>
    <row r="32" spans="1:1">
      <c r="A32" s="974" t="s">
        <v>644</v>
      </c>
    </row>
    <row r="33" spans="1:1" ht="3.75" customHeight="1"/>
    <row r="34" spans="1:1" s="1299" customFormat="1">
      <c r="A34" s="1298" t="s">
        <v>882</v>
      </c>
    </row>
    <row r="35" spans="1:1">
      <c r="A35" s="1298" t="s">
        <v>883</v>
      </c>
    </row>
    <row r="36" spans="1:1" s="77" customFormat="1">
      <c r="A36" s="1298" t="s">
        <v>884</v>
      </c>
    </row>
    <row r="37" spans="1:1">
      <c r="A37" s="1298" t="s">
        <v>885</v>
      </c>
    </row>
    <row r="38" spans="1:1">
      <c r="A38" s="1298" t="s">
        <v>886</v>
      </c>
    </row>
    <row r="39" spans="1:1" s="77" customFormat="1">
      <c r="A39" s="1298" t="s">
        <v>887</v>
      </c>
    </row>
    <row r="40" spans="1:1">
      <c r="A40" s="975"/>
    </row>
    <row r="41" spans="1:1">
      <c r="A41" s="974" t="s">
        <v>643</v>
      </c>
    </row>
    <row r="42" spans="1:1" ht="6" customHeight="1">
      <c r="A42" s="77"/>
    </row>
    <row r="43" spans="1:1">
      <c r="A43" s="1298" t="s">
        <v>796</v>
      </c>
    </row>
    <row r="44" spans="1:1">
      <c r="A44" s="1298" t="s">
        <v>797</v>
      </c>
    </row>
    <row r="45" spans="1:1" s="77" customFormat="1">
      <c r="A45" s="1298" t="s">
        <v>798</v>
      </c>
    </row>
    <row r="46" spans="1:1" s="77" customFormat="1">
      <c r="A46" s="1298" t="s">
        <v>800</v>
      </c>
    </row>
    <row r="47" spans="1:1">
      <c r="A47" s="1298" t="s">
        <v>799</v>
      </c>
    </row>
    <row r="48" spans="1:1">
      <c r="A48" s="1298" t="s">
        <v>801</v>
      </c>
    </row>
    <row r="49" spans="1:1">
      <c r="A49" s="1298" t="s">
        <v>802</v>
      </c>
    </row>
    <row r="50" spans="1:1" ht="6.75" customHeight="1"/>
    <row r="51" spans="1:1" ht="24.75" customHeight="1">
      <c r="A51" s="974" t="s">
        <v>888</v>
      </c>
    </row>
    <row r="52" spans="1:1" ht="6.75" customHeight="1"/>
    <row r="53" spans="1:1">
      <c r="A53" s="1298" t="s">
        <v>803</v>
      </c>
    </row>
    <row r="54" spans="1:1">
      <c r="A54" s="1298" t="s">
        <v>650</v>
      </c>
    </row>
    <row r="55" spans="1:1">
      <c r="A55" s="1298" t="s">
        <v>651</v>
      </c>
    </row>
    <row r="56" spans="1:1">
      <c r="A56" s="1298" t="s">
        <v>804</v>
      </c>
    </row>
    <row r="58" spans="1:1">
      <c r="A58" s="974" t="s">
        <v>805</v>
      </c>
    </row>
    <row r="59" spans="1:1">
      <c r="A59" s="77"/>
    </row>
    <row r="60" spans="1:1">
      <c r="A60" s="1298" t="s">
        <v>889</v>
      </c>
    </row>
    <row r="61" spans="1:1" s="77" customFormat="1">
      <c r="A61" s="1298" t="s">
        <v>806</v>
      </c>
    </row>
    <row r="62" spans="1:1">
      <c r="A62" s="1298" t="s">
        <v>812</v>
      </c>
    </row>
    <row r="63" spans="1:1">
      <c r="A63" s="1298" t="s">
        <v>807</v>
      </c>
    </row>
    <row r="64" spans="1:1">
      <c r="A64" s="1298" t="s">
        <v>813</v>
      </c>
    </row>
    <row r="65" spans="1:1">
      <c r="A65" s="1298" t="s">
        <v>814</v>
      </c>
    </row>
    <row r="66" spans="1:1">
      <c r="A66" s="1298" t="s">
        <v>815</v>
      </c>
    </row>
    <row r="67" spans="1:1">
      <c r="A67" s="1298" t="s">
        <v>816</v>
      </c>
    </row>
    <row r="68" spans="1:1" s="77" customFormat="1">
      <c r="A68" s="1298" t="s">
        <v>954</v>
      </c>
    </row>
    <row r="69" spans="1:1">
      <c r="A69" s="1298" t="s">
        <v>817</v>
      </c>
    </row>
    <row r="70" spans="1:1" s="70" customFormat="1">
      <c r="A70" s="1300" t="s">
        <v>808</v>
      </c>
    </row>
    <row r="71" spans="1:1">
      <c r="A71" s="1298" t="s">
        <v>809</v>
      </c>
    </row>
    <row r="72" spans="1:1">
      <c r="A72" s="1298" t="s">
        <v>810</v>
      </c>
    </row>
    <row r="73" spans="1:1">
      <c r="A73" s="1298" t="s">
        <v>811</v>
      </c>
    </row>
    <row r="74" spans="1:1" s="77" customFormat="1">
      <c r="A74" s="1298" t="s">
        <v>818</v>
      </c>
    </row>
    <row r="76" spans="1:1">
      <c r="A76" s="974" t="s">
        <v>890</v>
      </c>
    </row>
    <row r="77" spans="1:1" ht="7.5" customHeight="1">
      <c r="A77" s="77"/>
    </row>
    <row r="78" spans="1:1">
      <c r="A78" s="1298" t="s">
        <v>891</v>
      </c>
    </row>
    <row r="79" spans="1:1" s="77" customFormat="1">
      <c r="A79" s="1298" t="s">
        <v>892</v>
      </c>
    </row>
    <row r="80" spans="1:1">
      <c r="A80" s="1298" t="s">
        <v>893</v>
      </c>
    </row>
    <row r="81" spans="1:1">
      <c r="A81" s="1298" t="s">
        <v>894</v>
      </c>
    </row>
    <row r="82" spans="1:1">
      <c r="A82" s="1298" t="s">
        <v>895</v>
      </c>
    </row>
    <row r="83" spans="1:1" ht="14.25" customHeight="1">
      <c r="A83" s="1298" t="s">
        <v>896</v>
      </c>
    </row>
    <row r="84" spans="1:1" ht="9" customHeight="1">
      <c r="A84" s="975"/>
    </row>
    <row r="85" spans="1:1" s="77" customFormat="1">
      <c r="A85" s="972" t="s">
        <v>656</v>
      </c>
    </row>
    <row r="86" spans="1:1" s="77" customFormat="1" ht="6" customHeight="1">
      <c r="A86" s="972"/>
    </row>
    <row r="87" spans="1:1">
      <c r="A87" s="974" t="s">
        <v>843</v>
      </c>
    </row>
    <row r="88" spans="1:1" ht="21" customHeight="1">
      <c r="A88" s="1298" t="s">
        <v>897</v>
      </c>
    </row>
    <row r="89" spans="1:1" s="77" customFormat="1">
      <c r="A89" s="1298" t="s">
        <v>819</v>
      </c>
    </row>
    <row r="90" spans="1:1">
      <c r="A90" s="1298" t="s">
        <v>820</v>
      </c>
    </row>
    <row r="91" spans="1:1">
      <c r="A91" s="1298" t="s">
        <v>821</v>
      </c>
    </row>
    <row r="92" spans="1:1">
      <c r="A92" s="1298" t="s">
        <v>822</v>
      </c>
    </row>
    <row r="93" spans="1:1" s="77" customFormat="1">
      <c r="A93" s="1298" t="s">
        <v>823</v>
      </c>
    </row>
    <row r="94" spans="1:1" s="77" customFormat="1">
      <c r="A94" s="975"/>
    </row>
    <row r="95" spans="1:1" s="77" customFormat="1">
      <c r="A95" s="974" t="s">
        <v>844</v>
      </c>
    </row>
    <row r="96" spans="1:1" ht="6.75" customHeight="1"/>
    <row r="97" spans="1:16384" s="77" customFormat="1" ht="13.5" customHeight="1">
      <c r="A97" s="1298" t="s">
        <v>833</v>
      </c>
      <c r="B97" s="975"/>
      <c r="C97" s="975"/>
      <c r="D97" s="975"/>
      <c r="E97" s="975"/>
      <c r="F97" s="975"/>
      <c r="G97" s="975"/>
      <c r="H97" s="975"/>
      <c r="I97" s="975"/>
      <c r="J97" s="975"/>
      <c r="K97" s="975"/>
      <c r="L97" s="975"/>
      <c r="M97" s="975"/>
      <c r="N97" s="975"/>
      <c r="O97" s="975"/>
      <c r="P97" s="975"/>
      <c r="Q97" s="975"/>
      <c r="R97" s="975" t="s">
        <v>819</v>
      </c>
      <c r="S97" s="975" t="s">
        <v>819</v>
      </c>
      <c r="T97" s="975" t="s">
        <v>819</v>
      </c>
      <c r="U97" s="975" t="s">
        <v>819</v>
      </c>
      <c r="V97" s="975" t="s">
        <v>819</v>
      </c>
      <c r="W97" s="975" t="s">
        <v>819</v>
      </c>
      <c r="X97" s="975" t="s">
        <v>819</v>
      </c>
      <c r="Y97" s="975" t="s">
        <v>819</v>
      </c>
      <c r="Z97" s="975" t="s">
        <v>819</v>
      </c>
      <c r="AA97" s="975" t="s">
        <v>819</v>
      </c>
      <c r="AB97" s="975" t="s">
        <v>819</v>
      </c>
      <c r="AC97" s="975" t="s">
        <v>819</v>
      </c>
      <c r="AD97" s="975" t="s">
        <v>819</v>
      </c>
      <c r="AE97" s="975" t="s">
        <v>819</v>
      </c>
      <c r="AF97" s="975" t="s">
        <v>819</v>
      </c>
      <c r="AG97" s="975" t="s">
        <v>819</v>
      </c>
      <c r="AH97" s="975" t="s">
        <v>819</v>
      </c>
      <c r="AI97" s="975" t="s">
        <v>819</v>
      </c>
      <c r="AJ97" s="975" t="s">
        <v>819</v>
      </c>
      <c r="AK97" s="975" t="s">
        <v>819</v>
      </c>
      <c r="AL97" s="975" t="s">
        <v>819</v>
      </c>
      <c r="AM97" s="975" t="s">
        <v>819</v>
      </c>
      <c r="AN97" s="975" t="s">
        <v>819</v>
      </c>
      <c r="AO97" s="975" t="s">
        <v>819</v>
      </c>
      <c r="AP97" s="975" t="s">
        <v>819</v>
      </c>
      <c r="AQ97" s="975" t="s">
        <v>819</v>
      </c>
      <c r="AR97" s="975" t="s">
        <v>819</v>
      </c>
      <c r="AS97" s="975" t="s">
        <v>819</v>
      </c>
      <c r="AT97" s="975" t="s">
        <v>819</v>
      </c>
      <c r="AU97" s="975" t="s">
        <v>819</v>
      </c>
      <c r="AV97" s="975" t="s">
        <v>819</v>
      </c>
      <c r="AW97" s="975" t="s">
        <v>819</v>
      </c>
      <c r="AX97" s="975" t="s">
        <v>819</v>
      </c>
      <c r="AY97" s="975" t="s">
        <v>819</v>
      </c>
      <c r="AZ97" s="975" t="s">
        <v>819</v>
      </c>
      <c r="BA97" s="975" t="s">
        <v>819</v>
      </c>
      <c r="BB97" s="975" t="s">
        <v>819</v>
      </c>
      <c r="BC97" s="975" t="s">
        <v>819</v>
      </c>
      <c r="BD97" s="975" t="s">
        <v>819</v>
      </c>
      <c r="BE97" s="975" t="s">
        <v>819</v>
      </c>
      <c r="BF97" s="975" t="s">
        <v>819</v>
      </c>
      <c r="BG97" s="975" t="s">
        <v>819</v>
      </c>
      <c r="BH97" s="975" t="s">
        <v>819</v>
      </c>
      <c r="BI97" s="975" t="s">
        <v>819</v>
      </c>
      <c r="BJ97" s="975" t="s">
        <v>819</v>
      </c>
      <c r="BK97" s="975" t="s">
        <v>819</v>
      </c>
      <c r="BL97" s="975" t="s">
        <v>819</v>
      </c>
      <c r="BM97" s="975" t="s">
        <v>819</v>
      </c>
      <c r="BN97" s="975" t="s">
        <v>819</v>
      </c>
      <c r="BO97" s="975" t="s">
        <v>819</v>
      </c>
      <c r="BP97" s="975" t="s">
        <v>819</v>
      </c>
      <c r="BQ97" s="975" t="s">
        <v>819</v>
      </c>
      <c r="BR97" s="975" t="s">
        <v>819</v>
      </c>
      <c r="BS97" s="975" t="s">
        <v>819</v>
      </c>
      <c r="BT97" s="975" t="s">
        <v>819</v>
      </c>
      <c r="BU97" s="975" t="s">
        <v>819</v>
      </c>
      <c r="BV97" s="975" t="s">
        <v>819</v>
      </c>
      <c r="BW97" s="975" t="s">
        <v>819</v>
      </c>
      <c r="BX97" s="975" t="s">
        <v>819</v>
      </c>
      <c r="BY97" s="975" t="s">
        <v>819</v>
      </c>
      <c r="BZ97" s="975" t="s">
        <v>819</v>
      </c>
      <c r="CA97" s="975" t="s">
        <v>819</v>
      </c>
      <c r="CB97" s="975" t="s">
        <v>819</v>
      </c>
      <c r="CC97" s="975" t="s">
        <v>819</v>
      </c>
      <c r="CD97" s="975" t="s">
        <v>819</v>
      </c>
      <c r="CE97" s="975" t="s">
        <v>819</v>
      </c>
      <c r="CF97" s="975" t="s">
        <v>819</v>
      </c>
      <c r="CG97" s="975" t="s">
        <v>819</v>
      </c>
      <c r="CH97" s="975" t="s">
        <v>819</v>
      </c>
      <c r="CI97" s="975" t="s">
        <v>819</v>
      </c>
      <c r="CJ97" s="975" t="s">
        <v>819</v>
      </c>
      <c r="CK97" s="975" t="s">
        <v>819</v>
      </c>
      <c r="CL97" s="975" t="s">
        <v>819</v>
      </c>
      <c r="CM97" s="975" t="s">
        <v>819</v>
      </c>
      <c r="CN97" s="975" t="s">
        <v>819</v>
      </c>
      <c r="CO97" s="975" t="s">
        <v>819</v>
      </c>
      <c r="CP97" s="975" t="s">
        <v>819</v>
      </c>
      <c r="CQ97" s="975" t="s">
        <v>819</v>
      </c>
      <c r="CR97" s="975" t="s">
        <v>819</v>
      </c>
      <c r="CS97" s="975" t="s">
        <v>819</v>
      </c>
      <c r="CT97" s="975" t="s">
        <v>819</v>
      </c>
      <c r="CU97" s="975" t="s">
        <v>819</v>
      </c>
      <c r="CV97" s="975" t="s">
        <v>819</v>
      </c>
      <c r="CW97" s="975" t="s">
        <v>819</v>
      </c>
      <c r="CX97" s="975" t="s">
        <v>819</v>
      </c>
      <c r="CY97" s="975" t="s">
        <v>819</v>
      </c>
      <c r="CZ97" s="975" t="s">
        <v>819</v>
      </c>
      <c r="DA97" s="975" t="s">
        <v>819</v>
      </c>
      <c r="DB97" s="975" t="s">
        <v>819</v>
      </c>
      <c r="DC97" s="975" t="s">
        <v>819</v>
      </c>
      <c r="DD97" s="975" t="s">
        <v>819</v>
      </c>
      <c r="DE97" s="975" t="s">
        <v>819</v>
      </c>
      <c r="DF97" s="975" t="s">
        <v>819</v>
      </c>
      <c r="DG97" s="975" t="s">
        <v>819</v>
      </c>
      <c r="DH97" s="975" t="s">
        <v>819</v>
      </c>
      <c r="DI97" s="975" t="s">
        <v>819</v>
      </c>
      <c r="DJ97" s="975" t="s">
        <v>819</v>
      </c>
      <c r="DK97" s="975" t="s">
        <v>819</v>
      </c>
      <c r="DL97" s="975" t="s">
        <v>819</v>
      </c>
      <c r="DM97" s="975" t="s">
        <v>819</v>
      </c>
      <c r="DN97" s="975" t="s">
        <v>819</v>
      </c>
      <c r="DO97" s="975" t="s">
        <v>819</v>
      </c>
      <c r="DP97" s="975" t="s">
        <v>819</v>
      </c>
      <c r="DQ97" s="975" t="s">
        <v>819</v>
      </c>
      <c r="DR97" s="975" t="s">
        <v>819</v>
      </c>
      <c r="DS97" s="975" t="s">
        <v>819</v>
      </c>
      <c r="DT97" s="975" t="s">
        <v>819</v>
      </c>
      <c r="DU97" s="975" t="s">
        <v>819</v>
      </c>
      <c r="DV97" s="975" t="s">
        <v>819</v>
      </c>
      <c r="DW97" s="975" t="s">
        <v>819</v>
      </c>
      <c r="DX97" s="975" t="s">
        <v>819</v>
      </c>
      <c r="DY97" s="975" t="s">
        <v>819</v>
      </c>
      <c r="DZ97" s="975" t="s">
        <v>819</v>
      </c>
      <c r="EA97" s="975" t="s">
        <v>819</v>
      </c>
      <c r="EB97" s="975" t="s">
        <v>819</v>
      </c>
      <c r="EC97" s="975" t="s">
        <v>819</v>
      </c>
      <c r="ED97" s="975" t="s">
        <v>819</v>
      </c>
      <c r="EE97" s="975" t="s">
        <v>819</v>
      </c>
      <c r="EF97" s="975" t="s">
        <v>819</v>
      </c>
      <c r="EG97" s="975" t="s">
        <v>819</v>
      </c>
      <c r="EH97" s="975" t="s">
        <v>819</v>
      </c>
      <c r="EI97" s="975" t="s">
        <v>819</v>
      </c>
      <c r="EJ97" s="975" t="s">
        <v>819</v>
      </c>
      <c r="EK97" s="975" t="s">
        <v>819</v>
      </c>
      <c r="EL97" s="975" t="s">
        <v>819</v>
      </c>
      <c r="EM97" s="975" t="s">
        <v>819</v>
      </c>
      <c r="EN97" s="975" t="s">
        <v>819</v>
      </c>
      <c r="EO97" s="975" t="s">
        <v>819</v>
      </c>
      <c r="EP97" s="975" t="s">
        <v>819</v>
      </c>
      <c r="EQ97" s="975" t="s">
        <v>819</v>
      </c>
      <c r="ER97" s="975" t="s">
        <v>819</v>
      </c>
      <c r="ES97" s="975" t="s">
        <v>819</v>
      </c>
      <c r="ET97" s="975" t="s">
        <v>819</v>
      </c>
      <c r="EU97" s="975" t="s">
        <v>819</v>
      </c>
      <c r="EV97" s="975" t="s">
        <v>819</v>
      </c>
      <c r="EW97" s="975" t="s">
        <v>819</v>
      </c>
      <c r="EX97" s="975" t="s">
        <v>819</v>
      </c>
      <c r="EY97" s="975" t="s">
        <v>819</v>
      </c>
      <c r="EZ97" s="975" t="s">
        <v>819</v>
      </c>
      <c r="FA97" s="975" t="s">
        <v>819</v>
      </c>
      <c r="FB97" s="975" t="s">
        <v>819</v>
      </c>
      <c r="FC97" s="975" t="s">
        <v>819</v>
      </c>
      <c r="FD97" s="975" t="s">
        <v>819</v>
      </c>
      <c r="FE97" s="975" t="s">
        <v>819</v>
      </c>
      <c r="FF97" s="975" t="s">
        <v>819</v>
      </c>
      <c r="FG97" s="975" t="s">
        <v>819</v>
      </c>
      <c r="FH97" s="975" t="s">
        <v>819</v>
      </c>
      <c r="FI97" s="975" t="s">
        <v>819</v>
      </c>
      <c r="FJ97" s="975" t="s">
        <v>819</v>
      </c>
      <c r="FK97" s="975" t="s">
        <v>819</v>
      </c>
      <c r="FL97" s="975" t="s">
        <v>819</v>
      </c>
      <c r="FM97" s="975" t="s">
        <v>819</v>
      </c>
      <c r="FN97" s="975" t="s">
        <v>819</v>
      </c>
      <c r="FO97" s="975" t="s">
        <v>819</v>
      </c>
      <c r="FP97" s="975" t="s">
        <v>819</v>
      </c>
      <c r="FQ97" s="975" t="s">
        <v>819</v>
      </c>
      <c r="FR97" s="975" t="s">
        <v>819</v>
      </c>
      <c r="FS97" s="975" t="s">
        <v>819</v>
      </c>
      <c r="FT97" s="975" t="s">
        <v>819</v>
      </c>
      <c r="FU97" s="975" t="s">
        <v>819</v>
      </c>
      <c r="FV97" s="975" t="s">
        <v>819</v>
      </c>
      <c r="FW97" s="975" t="s">
        <v>819</v>
      </c>
      <c r="FX97" s="975" t="s">
        <v>819</v>
      </c>
      <c r="FY97" s="975" t="s">
        <v>819</v>
      </c>
      <c r="FZ97" s="975" t="s">
        <v>819</v>
      </c>
      <c r="GA97" s="975" t="s">
        <v>819</v>
      </c>
      <c r="GB97" s="975" t="s">
        <v>819</v>
      </c>
      <c r="GC97" s="975" t="s">
        <v>819</v>
      </c>
      <c r="GD97" s="975" t="s">
        <v>819</v>
      </c>
      <c r="GE97" s="975" t="s">
        <v>819</v>
      </c>
      <c r="GF97" s="975" t="s">
        <v>819</v>
      </c>
      <c r="GG97" s="975" t="s">
        <v>819</v>
      </c>
      <c r="GH97" s="975" t="s">
        <v>819</v>
      </c>
      <c r="GI97" s="975" t="s">
        <v>819</v>
      </c>
      <c r="GJ97" s="975" t="s">
        <v>819</v>
      </c>
      <c r="GK97" s="975" t="s">
        <v>819</v>
      </c>
      <c r="GL97" s="975" t="s">
        <v>819</v>
      </c>
      <c r="GM97" s="975" t="s">
        <v>819</v>
      </c>
      <c r="GN97" s="975" t="s">
        <v>819</v>
      </c>
      <c r="GO97" s="975" t="s">
        <v>819</v>
      </c>
      <c r="GP97" s="975" t="s">
        <v>819</v>
      </c>
      <c r="GQ97" s="975" t="s">
        <v>819</v>
      </c>
      <c r="GR97" s="975" t="s">
        <v>819</v>
      </c>
      <c r="GS97" s="975" t="s">
        <v>819</v>
      </c>
      <c r="GT97" s="975" t="s">
        <v>819</v>
      </c>
      <c r="GU97" s="975" t="s">
        <v>819</v>
      </c>
      <c r="GV97" s="975" t="s">
        <v>819</v>
      </c>
      <c r="GW97" s="975" t="s">
        <v>819</v>
      </c>
      <c r="GX97" s="975" t="s">
        <v>819</v>
      </c>
      <c r="GY97" s="975" t="s">
        <v>819</v>
      </c>
      <c r="GZ97" s="975" t="s">
        <v>819</v>
      </c>
      <c r="HA97" s="975" t="s">
        <v>819</v>
      </c>
      <c r="HB97" s="975" t="s">
        <v>819</v>
      </c>
      <c r="HC97" s="975" t="s">
        <v>819</v>
      </c>
      <c r="HD97" s="975" t="s">
        <v>819</v>
      </c>
      <c r="HE97" s="975" t="s">
        <v>819</v>
      </c>
      <c r="HF97" s="975" t="s">
        <v>819</v>
      </c>
      <c r="HG97" s="975" t="s">
        <v>819</v>
      </c>
      <c r="HH97" s="975" t="s">
        <v>819</v>
      </c>
      <c r="HI97" s="975" t="s">
        <v>819</v>
      </c>
      <c r="HJ97" s="975" t="s">
        <v>819</v>
      </c>
      <c r="HK97" s="975" t="s">
        <v>819</v>
      </c>
      <c r="HL97" s="975" t="s">
        <v>819</v>
      </c>
      <c r="HM97" s="975" t="s">
        <v>819</v>
      </c>
      <c r="HN97" s="975" t="s">
        <v>819</v>
      </c>
      <c r="HO97" s="975" t="s">
        <v>819</v>
      </c>
      <c r="HP97" s="975" t="s">
        <v>819</v>
      </c>
      <c r="HQ97" s="975" t="s">
        <v>819</v>
      </c>
      <c r="HR97" s="975" t="s">
        <v>819</v>
      </c>
      <c r="HS97" s="975" t="s">
        <v>819</v>
      </c>
      <c r="HT97" s="975" t="s">
        <v>819</v>
      </c>
      <c r="HU97" s="975" t="s">
        <v>819</v>
      </c>
      <c r="HV97" s="975" t="s">
        <v>819</v>
      </c>
      <c r="HW97" s="975" t="s">
        <v>819</v>
      </c>
      <c r="HX97" s="975" t="s">
        <v>819</v>
      </c>
      <c r="HY97" s="975" t="s">
        <v>819</v>
      </c>
      <c r="HZ97" s="975" t="s">
        <v>819</v>
      </c>
      <c r="IA97" s="975" t="s">
        <v>819</v>
      </c>
      <c r="IB97" s="975" t="s">
        <v>819</v>
      </c>
      <c r="IC97" s="975" t="s">
        <v>819</v>
      </c>
      <c r="ID97" s="975" t="s">
        <v>819</v>
      </c>
      <c r="IE97" s="975" t="s">
        <v>819</v>
      </c>
      <c r="IF97" s="975" t="s">
        <v>819</v>
      </c>
      <c r="IG97" s="975" t="s">
        <v>819</v>
      </c>
      <c r="IH97" s="975" t="s">
        <v>819</v>
      </c>
      <c r="II97" s="975" t="s">
        <v>819</v>
      </c>
      <c r="IJ97" s="975" t="s">
        <v>819</v>
      </c>
      <c r="IK97" s="975" t="s">
        <v>819</v>
      </c>
      <c r="IL97" s="975" t="s">
        <v>819</v>
      </c>
      <c r="IM97" s="975" t="s">
        <v>819</v>
      </c>
      <c r="IN97" s="975" t="s">
        <v>819</v>
      </c>
      <c r="IO97" s="975" t="s">
        <v>819</v>
      </c>
      <c r="IP97" s="975" t="s">
        <v>819</v>
      </c>
      <c r="IQ97" s="975" t="s">
        <v>819</v>
      </c>
      <c r="IR97" s="975" t="s">
        <v>819</v>
      </c>
      <c r="IS97" s="975" t="s">
        <v>819</v>
      </c>
      <c r="IT97" s="975" t="s">
        <v>819</v>
      </c>
      <c r="IU97" s="975" t="s">
        <v>819</v>
      </c>
      <c r="IV97" s="975" t="s">
        <v>819</v>
      </c>
      <c r="IW97" s="975" t="s">
        <v>819</v>
      </c>
      <c r="IX97" s="975" t="s">
        <v>819</v>
      </c>
      <c r="IY97" s="975" t="s">
        <v>819</v>
      </c>
      <c r="IZ97" s="975" t="s">
        <v>819</v>
      </c>
      <c r="JA97" s="975" t="s">
        <v>819</v>
      </c>
      <c r="JB97" s="975" t="s">
        <v>819</v>
      </c>
      <c r="JC97" s="975" t="s">
        <v>819</v>
      </c>
      <c r="JD97" s="975" t="s">
        <v>819</v>
      </c>
      <c r="JE97" s="975" t="s">
        <v>819</v>
      </c>
      <c r="JF97" s="975" t="s">
        <v>819</v>
      </c>
      <c r="JG97" s="975" t="s">
        <v>819</v>
      </c>
      <c r="JH97" s="975" t="s">
        <v>819</v>
      </c>
      <c r="JI97" s="975" t="s">
        <v>819</v>
      </c>
      <c r="JJ97" s="975" t="s">
        <v>819</v>
      </c>
      <c r="JK97" s="975" t="s">
        <v>819</v>
      </c>
      <c r="JL97" s="975" t="s">
        <v>819</v>
      </c>
      <c r="JM97" s="975" t="s">
        <v>819</v>
      </c>
      <c r="JN97" s="975" t="s">
        <v>819</v>
      </c>
      <c r="JO97" s="975" t="s">
        <v>819</v>
      </c>
      <c r="JP97" s="975" t="s">
        <v>819</v>
      </c>
      <c r="JQ97" s="975" t="s">
        <v>819</v>
      </c>
      <c r="JR97" s="975" t="s">
        <v>819</v>
      </c>
      <c r="JS97" s="975" t="s">
        <v>819</v>
      </c>
      <c r="JT97" s="975" t="s">
        <v>819</v>
      </c>
      <c r="JU97" s="975" t="s">
        <v>819</v>
      </c>
      <c r="JV97" s="975" t="s">
        <v>819</v>
      </c>
      <c r="JW97" s="975" t="s">
        <v>819</v>
      </c>
      <c r="JX97" s="975" t="s">
        <v>819</v>
      </c>
      <c r="JY97" s="975" t="s">
        <v>819</v>
      </c>
      <c r="JZ97" s="975" t="s">
        <v>819</v>
      </c>
      <c r="KA97" s="975" t="s">
        <v>819</v>
      </c>
      <c r="KB97" s="975" t="s">
        <v>819</v>
      </c>
      <c r="KC97" s="975" t="s">
        <v>819</v>
      </c>
      <c r="KD97" s="975" t="s">
        <v>819</v>
      </c>
      <c r="KE97" s="975" t="s">
        <v>819</v>
      </c>
      <c r="KF97" s="975" t="s">
        <v>819</v>
      </c>
      <c r="KG97" s="975" t="s">
        <v>819</v>
      </c>
      <c r="KH97" s="975" t="s">
        <v>819</v>
      </c>
      <c r="KI97" s="975" t="s">
        <v>819</v>
      </c>
      <c r="KJ97" s="975" t="s">
        <v>819</v>
      </c>
      <c r="KK97" s="975" t="s">
        <v>819</v>
      </c>
      <c r="KL97" s="975" t="s">
        <v>819</v>
      </c>
      <c r="KM97" s="975" t="s">
        <v>819</v>
      </c>
      <c r="KN97" s="975" t="s">
        <v>819</v>
      </c>
      <c r="KO97" s="975" t="s">
        <v>819</v>
      </c>
      <c r="KP97" s="975" t="s">
        <v>819</v>
      </c>
      <c r="KQ97" s="975" t="s">
        <v>819</v>
      </c>
      <c r="KR97" s="975" t="s">
        <v>819</v>
      </c>
      <c r="KS97" s="975" t="s">
        <v>819</v>
      </c>
      <c r="KT97" s="975" t="s">
        <v>819</v>
      </c>
      <c r="KU97" s="975" t="s">
        <v>819</v>
      </c>
      <c r="KV97" s="975" t="s">
        <v>819</v>
      </c>
      <c r="KW97" s="975" t="s">
        <v>819</v>
      </c>
      <c r="KX97" s="975" t="s">
        <v>819</v>
      </c>
      <c r="KY97" s="975" t="s">
        <v>819</v>
      </c>
      <c r="KZ97" s="975" t="s">
        <v>819</v>
      </c>
      <c r="LA97" s="975" t="s">
        <v>819</v>
      </c>
      <c r="LB97" s="975" t="s">
        <v>819</v>
      </c>
      <c r="LC97" s="975" t="s">
        <v>819</v>
      </c>
      <c r="LD97" s="975" t="s">
        <v>819</v>
      </c>
      <c r="LE97" s="975" t="s">
        <v>819</v>
      </c>
      <c r="LF97" s="975" t="s">
        <v>819</v>
      </c>
      <c r="LG97" s="975" t="s">
        <v>819</v>
      </c>
      <c r="LH97" s="975" t="s">
        <v>819</v>
      </c>
      <c r="LI97" s="975" t="s">
        <v>819</v>
      </c>
      <c r="LJ97" s="975" t="s">
        <v>819</v>
      </c>
      <c r="LK97" s="975" t="s">
        <v>819</v>
      </c>
      <c r="LL97" s="975" t="s">
        <v>819</v>
      </c>
      <c r="LM97" s="975" t="s">
        <v>819</v>
      </c>
      <c r="LN97" s="975" t="s">
        <v>819</v>
      </c>
      <c r="LO97" s="975" t="s">
        <v>819</v>
      </c>
      <c r="LP97" s="975" t="s">
        <v>819</v>
      </c>
      <c r="LQ97" s="975" t="s">
        <v>819</v>
      </c>
      <c r="LR97" s="975" t="s">
        <v>819</v>
      </c>
      <c r="LS97" s="975" t="s">
        <v>819</v>
      </c>
      <c r="LT97" s="975" t="s">
        <v>819</v>
      </c>
      <c r="LU97" s="975" t="s">
        <v>819</v>
      </c>
      <c r="LV97" s="975" t="s">
        <v>819</v>
      </c>
      <c r="LW97" s="975" t="s">
        <v>819</v>
      </c>
      <c r="LX97" s="975" t="s">
        <v>819</v>
      </c>
      <c r="LY97" s="975" t="s">
        <v>819</v>
      </c>
      <c r="LZ97" s="975" t="s">
        <v>819</v>
      </c>
      <c r="MA97" s="975" t="s">
        <v>819</v>
      </c>
      <c r="MB97" s="975" t="s">
        <v>819</v>
      </c>
      <c r="MC97" s="975" t="s">
        <v>819</v>
      </c>
      <c r="MD97" s="975" t="s">
        <v>819</v>
      </c>
      <c r="ME97" s="975" t="s">
        <v>819</v>
      </c>
      <c r="MF97" s="975" t="s">
        <v>819</v>
      </c>
      <c r="MG97" s="975" t="s">
        <v>819</v>
      </c>
      <c r="MH97" s="975" t="s">
        <v>819</v>
      </c>
      <c r="MI97" s="975" t="s">
        <v>819</v>
      </c>
      <c r="MJ97" s="975" t="s">
        <v>819</v>
      </c>
      <c r="MK97" s="975" t="s">
        <v>819</v>
      </c>
      <c r="ML97" s="975" t="s">
        <v>819</v>
      </c>
      <c r="MM97" s="975" t="s">
        <v>819</v>
      </c>
      <c r="MN97" s="975" t="s">
        <v>819</v>
      </c>
      <c r="MO97" s="975" t="s">
        <v>819</v>
      </c>
      <c r="MP97" s="975" t="s">
        <v>819</v>
      </c>
      <c r="MQ97" s="975" t="s">
        <v>819</v>
      </c>
      <c r="MR97" s="975" t="s">
        <v>819</v>
      </c>
      <c r="MS97" s="975" t="s">
        <v>819</v>
      </c>
      <c r="MT97" s="975" t="s">
        <v>819</v>
      </c>
      <c r="MU97" s="975" t="s">
        <v>819</v>
      </c>
      <c r="MV97" s="975" t="s">
        <v>819</v>
      </c>
      <c r="MW97" s="975" t="s">
        <v>819</v>
      </c>
      <c r="MX97" s="975" t="s">
        <v>819</v>
      </c>
      <c r="MY97" s="975" t="s">
        <v>819</v>
      </c>
      <c r="MZ97" s="975" t="s">
        <v>819</v>
      </c>
      <c r="NA97" s="975" t="s">
        <v>819</v>
      </c>
      <c r="NB97" s="975" t="s">
        <v>819</v>
      </c>
      <c r="NC97" s="975" t="s">
        <v>819</v>
      </c>
      <c r="ND97" s="975" t="s">
        <v>819</v>
      </c>
      <c r="NE97" s="975" t="s">
        <v>819</v>
      </c>
      <c r="NF97" s="975" t="s">
        <v>819</v>
      </c>
      <c r="NG97" s="975" t="s">
        <v>819</v>
      </c>
      <c r="NH97" s="975" t="s">
        <v>819</v>
      </c>
      <c r="NI97" s="975" t="s">
        <v>819</v>
      </c>
      <c r="NJ97" s="975" t="s">
        <v>819</v>
      </c>
      <c r="NK97" s="975" t="s">
        <v>819</v>
      </c>
      <c r="NL97" s="975" t="s">
        <v>819</v>
      </c>
      <c r="NM97" s="975" t="s">
        <v>819</v>
      </c>
      <c r="NN97" s="975" t="s">
        <v>819</v>
      </c>
      <c r="NO97" s="975" t="s">
        <v>819</v>
      </c>
      <c r="NP97" s="975" t="s">
        <v>819</v>
      </c>
      <c r="NQ97" s="975" t="s">
        <v>819</v>
      </c>
      <c r="NR97" s="975" t="s">
        <v>819</v>
      </c>
      <c r="NS97" s="975" t="s">
        <v>819</v>
      </c>
      <c r="NT97" s="975" t="s">
        <v>819</v>
      </c>
      <c r="NU97" s="975" t="s">
        <v>819</v>
      </c>
      <c r="NV97" s="975" t="s">
        <v>819</v>
      </c>
      <c r="NW97" s="975" t="s">
        <v>819</v>
      </c>
      <c r="NX97" s="975" t="s">
        <v>819</v>
      </c>
      <c r="NY97" s="975" t="s">
        <v>819</v>
      </c>
      <c r="NZ97" s="975" t="s">
        <v>819</v>
      </c>
      <c r="OA97" s="975" t="s">
        <v>819</v>
      </c>
      <c r="OB97" s="975" t="s">
        <v>819</v>
      </c>
      <c r="OC97" s="975" t="s">
        <v>819</v>
      </c>
      <c r="OD97" s="975" t="s">
        <v>819</v>
      </c>
      <c r="OE97" s="975" t="s">
        <v>819</v>
      </c>
      <c r="OF97" s="975" t="s">
        <v>819</v>
      </c>
      <c r="OG97" s="975" t="s">
        <v>819</v>
      </c>
      <c r="OH97" s="975" t="s">
        <v>819</v>
      </c>
      <c r="OI97" s="975" t="s">
        <v>819</v>
      </c>
      <c r="OJ97" s="975" t="s">
        <v>819</v>
      </c>
      <c r="OK97" s="975" t="s">
        <v>819</v>
      </c>
      <c r="OL97" s="975" t="s">
        <v>819</v>
      </c>
      <c r="OM97" s="975" t="s">
        <v>819</v>
      </c>
      <c r="ON97" s="975" t="s">
        <v>819</v>
      </c>
      <c r="OO97" s="975" t="s">
        <v>819</v>
      </c>
      <c r="OP97" s="975" t="s">
        <v>819</v>
      </c>
      <c r="OQ97" s="975" t="s">
        <v>819</v>
      </c>
      <c r="OR97" s="975" t="s">
        <v>819</v>
      </c>
      <c r="OS97" s="975" t="s">
        <v>819</v>
      </c>
      <c r="OT97" s="975" t="s">
        <v>819</v>
      </c>
      <c r="OU97" s="975" t="s">
        <v>819</v>
      </c>
      <c r="OV97" s="975" t="s">
        <v>819</v>
      </c>
      <c r="OW97" s="975" t="s">
        <v>819</v>
      </c>
      <c r="OX97" s="975" t="s">
        <v>819</v>
      </c>
      <c r="OY97" s="975" t="s">
        <v>819</v>
      </c>
      <c r="OZ97" s="975" t="s">
        <v>819</v>
      </c>
      <c r="PA97" s="975" t="s">
        <v>819</v>
      </c>
      <c r="PB97" s="975" t="s">
        <v>819</v>
      </c>
      <c r="PC97" s="975" t="s">
        <v>819</v>
      </c>
      <c r="PD97" s="975" t="s">
        <v>819</v>
      </c>
      <c r="PE97" s="975" t="s">
        <v>819</v>
      </c>
      <c r="PF97" s="975" t="s">
        <v>819</v>
      </c>
      <c r="PG97" s="975" t="s">
        <v>819</v>
      </c>
      <c r="PH97" s="975" t="s">
        <v>819</v>
      </c>
      <c r="PI97" s="975" t="s">
        <v>819</v>
      </c>
      <c r="PJ97" s="975" t="s">
        <v>819</v>
      </c>
      <c r="PK97" s="975" t="s">
        <v>819</v>
      </c>
      <c r="PL97" s="975" t="s">
        <v>819</v>
      </c>
      <c r="PM97" s="975" t="s">
        <v>819</v>
      </c>
      <c r="PN97" s="975" t="s">
        <v>819</v>
      </c>
      <c r="PO97" s="975" t="s">
        <v>819</v>
      </c>
      <c r="PP97" s="975" t="s">
        <v>819</v>
      </c>
      <c r="PQ97" s="975" t="s">
        <v>819</v>
      </c>
      <c r="PR97" s="975" t="s">
        <v>819</v>
      </c>
      <c r="PS97" s="975" t="s">
        <v>819</v>
      </c>
      <c r="PT97" s="975" t="s">
        <v>819</v>
      </c>
      <c r="PU97" s="975" t="s">
        <v>819</v>
      </c>
      <c r="PV97" s="975" t="s">
        <v>819</v>
      </c>
      <c r="PW97" s="975" t="s">
        <v>819</v>
      </c>
      <c r="PX97" s="975" t="s">
        <v>819</v>
      </c>
      <c r="PY97" s="975" t="s">
        <v>819</v>
      </c>
      <c r="PZ97" s="975" t="s">
        <v>819</v>
      </c>
      <c r="QA97" s="975" t="s">
        <v>819</v>
      </c>
      <c r="QB97" s="975" t="s">
        <v>819</v>
      </c>
      <c r="QC97" s="975" t="s">
        <v>819</v>
      </c>
      <c r="QD97" s="975" t="s">
        <v>819</v>
      </c>
      <c r="QE97" s="975" t="s">
        <v>819</v>
      </c>
      <c r="QF97" s="975" t="s">
        <v>819</v>
      </c>
      <c r="QG97" s="975" t="s">
        <v>819</v>
      </c>
      <c r="QH97" s="975" t="s">
        <v>819</v>
      </c>
      <c r="QI97" s="975" t="s">
        <v>819</v>
      </c>
      <c r="QJ97" s="975" t="s">
        <v>819</v>
      </c>
      <c r="QK97" s="975" t="s">
        <v>819</v>
      </c>
      <c r="QL97" s="975" t="s">
        <v>819</v>
      </c>
      <c r="QM97" s="975" t="s">
        <v>819</v>
      </c>
      <c r="QN97" s="975" t="s">
        <v>819</v>
      </c>
      <c r="QO97" s="975" t="s">
        <v>819</v>
      </c>
      <c r="QP97" s="975" t="s">
        <v>819</v>
      </c>
      <c r="QQ97" s="975" t="s">
        <v>819</v>
      </c>
      <c r="QR97" s="975" t="s">
        <v>819</v>
      </c>
      <c r="QS97" s="975" t="s">
        <v>819</v>
      </c>
      <c r="QT97" s="975" t="s">
        <v>819</v>
      </c>
      <c r="QU97" s="975" t="s">
        <v>819</v>
      </c>
      <c r="QV97" s="975" t="s">
        <v>819</v>
      </c>
      <c r="QW97" s="975" t="s">
        <v>819</v>
      </c>
      <c r="QX97" s="975" t="s">
        <v>819</v>
      </c>
      <c r="QY97" s="975" t="s">
        <v>819</v>
      </c>
      <c r="QZ97" s="975" t="s">
        <v>819</v>
      </c>
      <c r="RA97" s="975" t="s">
        <v>819</v>
      </c>
      <c r="RB97" s="975" t="s">
        <v>819</v>
      </c>
      <c r="RC97" s="975" t="s">
        <v>819</v>
      </c>
      <c r="RD97" s="975" t="s">
        <v>819</v>
      </c>
      <c r="RE97" s="975" t="s">
        <v>819</v>
      </c>
      <c r="RF97" s="975" t="s">
        <v>819</v>
      </c>
      <c r="RG97" s="975" t="s">
        <v>819</v>
      </c>
      <c r="RH97" s="975" t="s">
        <v>819</v>
      </c>
      <c r="RI97" s="975" t="s">
        <v>819</v>
      </c>
      <c r="RJ97" s="975" t="s">
        <v>819</v>
      </c>
      <c r="RK97" s="975" t="s">
        <v>819</v>
      </c>
      <c r="RL97" s="975" t="s">
        <v>819</v>
      </c>
      <c r="RM97" s="975" t="s">
        <v>819</v>
      </c>
      <c r="RN97" s="975" t="s">
        <v>819</v>
      </c>
      <c r="RO97" s="975" t="s">
        <v>819</v>
      </c>
      <c r="RP97" s="975" t="s">
        <v>819</v>
      </c>
      <c r="RQ97" s="975" t="s">
        <v>819</v>
      </c>
      <c r="RR97" s="975" t="s">
        <v>819</v>
      </c>
      <c r="RS97" s="975" t="s">
        <v>819</v>
      </c>
      <c r="RT97" s="975" t="s">
        <v>819</v>
      </c>
      <c r="RU97" s="975" t="s">
        <v>819</v>
      </c>
      <c r="RV97" s="975" t="s">
        <v>819</v>
      </c>
      <c r="RW97" s="975" t="s">
        <v>819</v>
      </c>
      <c r="RX97" s="975" t="s">
        <v>819</v>
      </c>
      <c r="RY97" s="975" t="s">
        <v>819</v>
      </c>
      <c r="RZ97" s="975" t="s">
        <v>819</v>
      </c>
      <c r="SA97" s="975" t="s">
        <v>819</v>
      </c>
      <c r="SB97" s="975" t="s">
        <v>819</v>
      </c>
      <c r="SC97" s="975" t="s">
        <v>819</v>
      </c>
      <c r="SD97" s="975" t="s">
        <v>819</v>
      </c>
      <c r="SE97" s="975" t="s">
        <v>819</v>
      </c>
      <c r="SF97" s="975" t="s">
        <v>819</v>
      </c>
      <c r="SG97" s="975" t="s">
        <v>819</v>
      </c>
      <c r="SH97" s="975" t="s">
        <v>819</v>
      </c>
      <c r="SI97" s="975" t="s">
        <v>819</v>
      </c>
      <c r="SJ97" s="975" t="s">
        <v>819</v>
      </c>
      <c r="SK97" s="975" t="s">
        <v>819</v>
      </c>
      <c r="SL97" s="975" t="s">
        <v>819</v>
      </c>
      <c r="SM97" s="975" t="s">
        <v>819</v>
      </c>
      <c r="SN97" s="975" t="s">
        <v>819</v>
      </c>
      <c r="SO97" s="975" t="s">
        <v>819</v>
      </c>
      <c r="SP97" s="975" t="s">
        <v>819</v>
      </c>
      <c r="SQ97" s="975" t="s">
        <v>819</v>
      </c>
      <c r="SR97" s="975" t="s">
        <v>819</v>
      </c>
      <c r="SS97" s="975" t="s">
        <v>819</v>
      </c>
      <c r="ST97" s="975" t="s">
        <v>819</v>
      </c>
      <c r="SU97" s="975" t="s">
        <v>819</v>
      </c>
      <c r="SV97" s="975" t="s">
        <v>819</v>
      </c>
      <c r="SW97" s="975" t="s">
        <v>819</v>
      </c>
      <c r="SX97" s="975" t="s">
        <v>819</v>
      </c>
      <c r="SY97" s="975" t="s">
        <v>819</v>
      </c>
      <c r="SZ97" s="975" t="s">
        <v>819</v>
      </c>
      <c r="TA97" s="975" t="s">
        <v>819</v>
      </c>
      <c r="TB97" s="975" t="s">
        <v>819</v>
      </c>
      <c r="TC97" s="975" t="s">
        <v>819</v>
      </c>
      <c r="TD97" s="975" t="s">
        <v>819</v>
      </c>
      <c r="TE97" s="975" t="s">
        <v>819</v>
      </c>
      <c r="TF97" s="975" t="s">
        <v>819</v>
      </c>
      <c r="TG97" s="975" t="s">
        <v>819</v>
      </c>
      <c r="TH97" s="975" t="s">
        <v>819</v>
      </c>
      <c r="TI97" s="975" t="s">
        <v>819</v>
      </c>
      <c r="TJ97" s="975" t="s">
        <v>819</v>
      </c>
      <c r="TK97" s="975" t="s">
        <v>819</v>
      </c>
      <c r="TL97" s="975" t="s">
        <v>819</v>
      </c>
      <c r="TM97" s="975" t="s">
        <v>819</v>
      </c>
      <c r="TN97" s="975" t="s">
        <v>819</v>
      </c>
      <c r="TO97" s="975" t="s">
        <v>819</v>
      </c>
      <c r="TP97" s="975" t="s">
        <v>819</v>
      </c>
      <c r="TQ97" s="975" t="s">
        <v>819</v>
      </c>
      <c r="TR97" s="975" t="s">
        <v>819</v>
      </c>
      <c r="TS97" s="975" t="s">
        <v>819</v>
      </c>
      <c r="TT97" s="975" t="s">
        <v>819</v>
      </c>
      <c r="TU97" s="975" t="s">
        <v>819</v>
      </c>
      <c r="TV97" s="975" t="s">
        <v>819</v>
      </c>
      <c r="TW97" s="975" t="s">
        <v>819</v>
      </c>
      <c r="TX97" s="975" t="s">
        <v>819</v>
      </c>
      <c r="TY97" s="975" t="s">
        <v>819</v>
      </c>
      <c r="TZ97" s="975" t="s">
        <v>819</v>
      </c>
      <c r="UA97" s="975" t="s">
        <v>819</v>
      </c>
      <c r="UB97" s="975" t="s">
        <v>819</v>
      </c>
      <c r="UC97" s="975" t="s">
        <v>819</v>
      </c>
      <c r="UD97" s="975" t="s">
        <v>819</v>
      </c>
      <c r="UE97" s="975" t="s">
        <v>819</v>
      </c>
      <c r="UF97" s="975" t="s">
        <v>819</v>
      </c>
      <c r="UG97" s="975" t="s">
        <v>819</v>
      </c>
      <c r="UH97" s="975" t="s">
        <v>819</v>
      </c>
      <c r="UI97" s="975" t="s">
        <v>819</v>
      </c>
      <c r="UJ97" s="975" t="s">
        <v>819</v>
      </c>
      <c r="UK97" s="975" t="s">
        <v>819</v>
      </c>
      <c r="UL97" s="975" t="s">
        <v>819</v>
      </c>
      <c r="UM97" s="975" t="s">
        <v>819</v>
      </c>
      <c r="UN97" s="975" t="s">
        <v>819</v>
      </c>
      <c r="UO97" s="975" t="s">
        <v>819</v>
      </c>
      <c r="UP97" s="975" t="s">
        <v>819</v>
      </c>
      <c r="UQ97" s="975" t="s">
        <v>819</v>
      </c>
      <c r="UR97" s="975" t="s">
        <v>819</v>
      </c>
      <c r="US97" s="975" t="s">
        <v>819</v>
      </c>
      <c r="UT97" s="975" t="s">
        <v>819</v>
      </c>
      <c r="UU97" s="975" t="s">
        <v>819</v>
      </c>
      <c r="UV97" s="975" t="s">
        <v>819</v>
      </c>
      <c r="UW97" s="975" t="s">
        <v>819</v>
      </c>
      <c r="UX97" s="975" t="s">
        <v>819</v>
      </c>
      <c r="UY97" s="975" t="s">
        <v>819</v>
      </c>
      <c r="UZ97" s="975" t="s">
        <v>819</v>
      </c>
      <c r="VA97" s="975" t="s">
        <v>819</v>
      </c>
      <c r="VB97" s="975" t="s">
        <v>819</v>
      </c>
      <c r="VC97" s="975" t="s">
        <v>819</v>
      </c>
      <c r="VD97" s="975" t="s">
        <v>819</v>
      </c>
      <c r="VE97" s="975" t="s">
        <v>819</v>
      </c>
      <c r="VF97" s="975" t="s">
        <v>819</v>
      </c>
      <c r="VG97" s="975" t="s">
        <v>819</v>
      </c>
      <c r="VH97" s="975" t="s">
        <v>819</v>
      </c>
      <c r="VI97" s="975" t="s">
        <v>819</v>
      </c>
      <c r="VJ97" s="975" t="s">
        <v>819</v>
      </c>
      <c r="VK97" s="975" t="s">
        <v>819</v>
      </c>
      <c r="VL97" s="975" t="s">
        <v>819</v>
      </c>
      <c r="VM97" s="975" t="s">
        <v>819</v>
      </c>
      <c r="VN97" s="975" t="s">
        <v>819</v>
      </c>
      <c r="VO97" s="975" t="s">
        <v>819</v>
      </c>
      <c r="VP97" s="975" t="s">
        <v>819</v>
      </c>
      <c r="VQ97" s="975" t="s">
        <v>819</v>
      </c>
      <c r="VR97" s="975" t="s">
        <v>819</v>
      </c>
      <c r="VS97" s="975" t="s">
        <v>819</v>
      </c>
      <c r="VT97" s="975" t="s">
        <v>819</v>
      </c>
      <c r="VU97" s="975" t="s">
        <v>819</v>
      </c>
      <c r="VV97" s="975" t="s">
        <v>819</v>
      </c>
      <c r="VW97" s="975" t="s">
        <v>819</v>
      </c>
      <c r="VX97" s="975" t="s">
        <v>819</v>
      </c>
      <c r="VY97" s="975" t="s">
        <v>819</v>
      </c>
      <c r="VZ97" s="975" t="s">
        <v>819</v>
      </c>
      <c r="WA97" s="975" t="s">
        <v>819</v>
      </c>
      <c r="WB97" s="975" t="s">
        <v>819</v>
      </c>
      <c r="WC97" s="975" t="s">
        <v>819</v>
      </c>
      <c r="WD97" s="975" t="s">
        <v>819</v>
      </c>
      <c r="WE97" s="975" t="s">
        <v>819</v>
      </c>
      <c r="WF97" s="975" t="s">
        <v>819</v>
      </c>
      <c r="WG97" s="975" t="s">
        <v>819</v>
      </c>
      <c r="WH97" s="975" t="s">
        <v>819</v>
      </c>
      <c r="WI97" s="975" t="s">
        <v>819</v>
      </c>
      <c r="WJ97" s="975" t="s">
        <v>819</v>
      </c>
      <c r="WK97" s="975" t="s">
        <v>819</v>
      </c>
      <c r="WL97" s="975" t="s">
        <v>819</v>
      </c>
      <c r="WM97" s="975" t="s">
        <v>819</v>
      </c>
      <c r="WN97" s="975" t="s">
        <v>819</v>
      </c>
      <c r="WO97" s="975" t="s">
        <v>819</v>
      </c>
      <c r="WP97" s="975" t="s">
        <v>819</v>
      </c>
      <c r="WQ97" s="975" t="s">
        <v>819</v>
      </c>
      <c r="WR97" s="975" t="s">
        <v>819</v>
      </c>
      <c r="WS97" s="975" t="s">
        <v>819</v>
      </c>
      <c r="WT97" s="975" t="s">
        <v>819</v>
      </c>
      <c r="WU97" s="975" t="s">
        <v>819</v>
      </c>
      <c r="WV97" s="975" t="s">
        <v>819</v>
      </c>
      <c r="WW97" s="975" t="s">
        <v>819</v>
      </c>
      <c r="WX97" s="975" t="s">
        <v>819</v>
      </c>
      <c r="WY97" s="975" t="s">
        <v>819</v>
      </c>
      <c r="WZ97" s="975" t="s">
        <v>819</v>
      </c>
      <c r="XA97" s="975" t="s">
        <v>819</v>
      </c>
      <c r="XB97" s="975" t="s">
        <v>819</v>
      </c>
      <c r="XC97" s="975" t="s">
        <v>819</v>
      </c>
      <c r="XD97" s="975" t="s">
        <v>819</v>
      </c>
      <c r="XE97" s="975" t="s">
        <v>819</v>
      </c>
      <c r="XF97" s="975" t="s">
        <v>819</v>
      </c>
      <c r="XG97" s="975" t="s">
        <v>819</v>
      </c>
      <c r="XH97" s="975" t="s">
        <v>819</v>
      </c>
      <c r="XI97" s="975" t="s">
        <v>819</v>
      </c>
      <c r="XJ97" s="975" t="s">
        <v>819</v>
      </c>
      <c r="XK97" s="975" t="s">
        <v>819</v>
      </c>
      <c r="XL97" s="975" t="s">
        <v>819</v>
      </c>
      <c r="XM97" s="975" t="s">
        <v>819</v>
      </c>
      <c r="XN97" s="975" t="s">
        <v>819</v>
      </c>
      <c r="XO97" s="975" t="s">
        <v>819</v>
      </c>
      <c r="XP97" s="975" t="s">
        <v>819</v>
      </c>
      <c r="XQ97" s="975" t="s">
        <v>819</v>
      </c>
      <c r="XR97" s="975" t="s">
        <v>819</v>
      </c>
      <c r="XS97" s="975" t="s">
        <v>819</v>
      </c>
      <c r="XT97" s="975" t="s">
        <v>819</v>
      </c>
      <c r="XU97" s="975" t="s">
        <v>819</v>
      </c>
      <c r="XV97" s="975" t="s">
        <v>819</v>
      </c>
      <c r="XW97" s="975" t="s">
        <v>819</v>
      </c>
      <c r="XX97" s="975" t="s">
        <v>819</v>
      </c>
      <c r="XY97" s="975" t="s">
        <v>819</v>
      </c>
      <c r="XZ97" s="975" t="s">
        <v>819</v>
      </c>
      <c r="YA97" s="975" t="s">
        <v>819</v>
      </c>
      <c r="YB97" s="975" t="s">
        <v>819</v>
      </c>
      <c r="YC97" s="975" t="s">
        <v>819</v>
      </c>
      <c r="YD97" s="975" t="s">
        <v>819</v>
      </c>
      <c r="YE97" s="975" t="s">
        <v>819</v>
      </c>
      <c r="YF97" s="975" t="s">
        <v>819</v>
      </c>
      <c r="YG97" s="975" t="s">
        <v>819</v>
      </c>
      <c r="YH97" s="975" t="s">
        <v>819</v>
      </c>
      <c r="YI97" s="975" t="s">
        <v>819</v>
      </c>
      <c r="YJ97" s="975" t="s">
        <v>819</v>
      </c>
      <c r="YK97" s="975" t="s">
        <v>819</v>
      </c>
      <c r="YL97" s="975" t="s">
        <v>819</v>
      </c>
      <c r="YM97" s="975" t="s">
        <v>819</v>
      </c>
      <c r="YN97" s="975" t="s">
        <v>819</v>
      </c>
      <c r="YO97" s="975" t="s">
        <v>819</v>
      </c>
      <c r="YP97" s="975" t="s">
        <v>819</v>
      </c>
      <c r="YQ97" s="975" t="s">
        <v>819</v>
      </c>
      <c r="YR97" s="975" t="s">
        <v>819</v>
      </c>
      <c r="YS97" s="975" t="s">
        <v>819</v>
      </c>
      <c r="YT97" s="975" t="s">
        <v>819</v>
      </c>
      <c r="YU97" s="975" t="s">
        <v>819</v>
      </c>
      <c r="YV97" s="975" t="s">
        <v>819</v>
      </c>
      <c r="YW97" s="975" t="s">
        <v>819</v>
      </c>
      <c r="YX97" s="975" t="s">
        <v>819</v>
      </c>
      <c r="YY97" s="975" t="s">
        <v>819</v>
      </c>
      <c r="YZ97" s="975" t="s">
        <v>819</v>
      </c>
      <c r="ZA97" s="975" t="s">
        <v>819</v>
      </c>
      <c r="ZB97" s="975" t="s">
        <v>819</v>
      </c>
      <c r="ZC97" s="975" t="s">
        <v>819</v>
      </c>
      <c r="ZD97" s="975" t="s">
        <v>819</v>
      </c>
      <c r="ZE97" s="975" t="s">
        <v>819</v>
      </c>
      <c r="ZF97" s="975" t="s">
        <v>819</v>
      </c>
      <c r="ZG97" s="975" t="s">
        <v>819</v>
      </c>
      <c r="ZH97" s="975" t="s">
        <v>819</v>
      </c>
      <c r="ZI97" s="975" t="s">
        <v>819</v>
      </c>
      <c r="ZJ97" s="975" t="s">
        <v>819</v>
      </c>
      <c r="ZK97" s="975" t="s">
        <v>819</v>
      </c>
      <c r="ZL97" s="975" t="s">
        <v>819</v>
      </c>
      <c r="ZM97" s="975" t="s">
        <v>819</v>
      </c>
      <c r="ZN97" s="975" t="s">
        <v>819</v>
      </c>
      <c r="ZO97" s="975" t="s">
        <v>819</v>
      </c>
      <c r="ZP97" s="975" t="s">
        <v>819</v>
      </c>
      <c r="ZQ97" s="975" t="s">
        <v>819</v>
      </c>
      <c r="ZR97" s="975" t="s">
        <v>819</v>
      </c>
      <c r="ZS97" s="975" t="s">
        <v>819</v>
      </c>
      <c r="ZT97" s="975" t="s">
        <v>819</v>
      </c>
      <c r="ZU97" s="975" t="s">
        <v>819</v>
      </c>
      <c r="ZV97" s="975" t="s">
        <v>819</v>
      </c>
      <c r="ZW97" s="975" t="s">
        <v>819</v>
      </c>
      <c r="ZX97" s="975" t="s">
        <v>819</v>
      </c>
      <c r="ZY97" s="975" t="s">
        <v>819</v>
      </c>
      <c r="ZZ97" s="975" t="s">
        <v>819</v>
      </c>
      <c r="AAA97" s="975" t="s">
        <v>819</v>
      </c>
      <c r="AAB97" s="975" t="s">
        <v>819</v>
      </c>
      <c r="AAC97" s="975" t="s">
        <v>819</v>
      </c>
      <c r="AAD97" s="975" t="s">
        <v>819</v>
      </c>
      <c r="AAE97" s="975" t="s">
        <v>819</v>
      </c>
      <c r="AAF97" s="975" t="s">
        <v>819</v>
      </c>
      <c r="AAG97" s="975" t="s">
        <v>819</v>
      </c>
      <c r="AAH97" s="975" t="s">
        <v>819</v>
      </c>
      <c r="AAI97" s="975" t="s">
        <v>819</v>
      </c>
      <c r="AAJ97" s="975" t="s">
        <v>819</v>
      </c>
      <c r="AAK97" s="975" t="s">
        <v>819</v>
      </c>
      <c r="AAL97" s="975" t="s">
        <v>819</v>
      </c>
      <c r="AAM97" s="975" t="s">
        <v>819</v>
      </c>
      <c r="AAN97" s="975" t="s">
        <v>819</v>
      </c>
      <c r="AAO97" s="975" t="s">
        <v>819</v>
      </c>
      <c r="AAP97" s="975" t="s">
        <v>819</v>
      </c>
      <c r="AAQ97" s="975" t="s">
        <v>819</v>
      </c>
      <c r="AAR97" s="975" t="s">
        <v>819</v>
      </c>
      <c r="AAS97" s="975" t="s">
        <v>819</v>
      </c>
      <c r="AAT97" s="975" t="s">
        <v>819</v>
      </c>
      <c r="AAU97" s="975" t="s">
        <v>819</v>
      </c>
      <c r="AAV97" s="975" t="s">
        <v>819</v>
      </c>
      <c r="AAW97" s="975" t="s">
        <v>819</v>
      </c>
      <c r="AAX97" s="975" t="s">
        <v>819</v>
      </c>
      <c r="AAY97" s="975" t="s">
        <v>819</v>
      </c>
      <c r="AAZ97" s="975" t="s">
        <v>819</v>
      </c>
      <c r="ABA97" s="975" t="s">
        <v>819</v>
      </c>
      <c r="ABB97" s="975" t="s">
        <v>819</v>
      </c>
      <c r="ABC97" s="975" t="s">
        <v>819</v>
      </c>
      <c r="ABD97" s="975" t="s">
        <v>819</v>
      </c>
      <c r="ABE97" s="975" t="s">
        <v>819</v>
      </c>
      <c r="ABF97" s="975" t="s">
        <v>819</v>
      </c>
      <c r="ABG97" s="975" t="s">
        <v>819</v>
      </c>
      <c r="ABH97" s="975" t="s">
        <v>819</v>
      </c>
      <c r="ABI97" s="975" t="s">
        <v>819</v>
      </c>
      <c r="ABJ97" s="975" t="s">
        <v>819</v>
      </c>
      <c r="ABK97" s="975" t="s">
        <v>819</v>
      </c>
      <c r="ABL97" s="975" t="s">
        <v>819</v>
      </c>
      <c r="ABM97" s="975" t="s">
        <v>819</v>
      </c>
      <c r="ABN97" s="975" t="s">
        <v>819</v>
      </c>
      <c r="ABO97" s="975" t="s">
        <v>819</v>
      </c>
      <c r="ABP97" s="975" t="s">
        <v>819</v>
      </c>
      <c r="ABQ97" s="975" t="s">
        <v>819</v>
      </c>
      <c r="ABR97" s="975" t="s">
        <v>819</v>
      </c>
      <c r="ABS97" s="975" t="s">
        <v>819</v>
      </c>
      <c r="ABT97" s="975" t="s">
        <v>819</v>
      </c>
      <c r="ABU97" s="975" t="s">
        <v>819</v>
      </c>
      <c r="ABV97" s="975" t="s">
        <v>819</v>
      </c>
      <c r="ABW97" s="975" t="s">
        <v>819</v>
      </c>
      <c r="ABX97" s="975" t="s">
        <v>819</v>
      </c>
      <c r="ABY97" s="975" t="s">
        <v>819</v>
      </c>
      <c r="ABZ97" s="975" t="s">
        <v>819</v>
      </c>
      <c r="ACA97" s="975" t="s">
        <v>819</v>
      </c>
      <c r="ACB97" s="975" t="s">
        <v>819</v>
      </c>
      <c r="ACC97" s="975" t="s">
        <v>819</v>
      </c>
      <c r="ACD97" s="975" t="s">
        <v>819</v>
      </c>
      <c r="ACE97" s="975" t="s">
        <v>819</v>
      </c>
      <c r="ACF97" s="975" t="s">
        <v>819</v>
      </c>
      <c r="ACG97" s="975" t="s">
        <v>819</v>
      </c>
      <c r="ACH97" s="975" t="s">
        <v>819</v>
      </c>
      <c r="ACI97" s="975" t="s">
        <v>819</v>
      </c>
      <c r="ACJ97" s="975" t="s">
        <v>819</v>
      </c>
      <c r="ACK97" s="975" t="s">
        <v>819</v>
      </c>
      <c r="ACL97" s="975" t="s">
        <v>819</v>
      </c>
      <c r="ACM97" s="975" t="s">
        <v>819</v>
      </c>
      <c r="ACN97" s="975" t="s">
        <v>819</v>
      </c>
      <c r="ACO97" s="975" t="s">
        <v>819</v>
      </c>
      <c r="ACP97" s="975" t="s">
        <v>819</v>
      </c>
      <c r="ACQ97" s="975" t="s">
        <v>819</v>
      </c>
      <c r="ACR97" s="975" t="s">
        <v>819</v>
      </c>
      <c r="ACS97" s="975" t="s">
        <v>819</v>
      </c>
      <c r="ACT97" s="975" t="s">
        <v>819</v>
      </c>
      <c r="ACU97" s="975" t="s">
        <v>819</v>
      </c>
      <c r="ACV97" s="975" t="s">
        <v>819</v>
      </c>
      <c r="ACW97" s="975" t="s">
        <v>819</v>
      </c>
      <c r="ACX97" s="975" t="s">
        <v>819</v>
      </c>
      <c r="ACY97" s="975" t="s">
        <v>819</v>
      </c>
      <c r="ACZ97" s="975" t="s">
        <v>819</v>
      </c>
      <c r="ADA97" s="975" t="s">
        <v>819</v>
      </c>
      <c r="ADB97" s="975" t="s">
        <v>819</v>
      </c>
      <c r="ADC97" s="975" t="s">
        <v>819</v>
      </c>
      <c r="ADD97" s="975" t="s">
        <v>819</v>
      </c>
      <c r="ADE97" s="975" t="s">
        <v>819</v>
      </c>
      <c r="ADF97" s="975" t="s">
        <v>819</v>
      </c>
      <c r="ADG97" s="975" t="s">
        <v>819</v>
      </c>
      <c r="ADH97" s="975" t="s">
        <v>819</v>
      </c>
      <c r="ADI97" s="975" t="s">
        <v>819</v>
      </c>
      <c r="ADJ97" s="975" t="s">
        <v>819</v>
      </c>
      <c r="ADK97" s="975" t="s">
        <v>819</v>
      </c>
      <c r="ADL97" s="975" t="s">
        <v>819</v>
      </c>
      <c r="ADM97" s="975" t="s">
        <v>819</v>
      </c>
      <c r="ADN97" s="975" t="s">
        <v>819</v>
      </c>
      <c r="ADO97" s="975" t="s">
        <v>819</v>
      </c>
      <c r="ADP97" s="975" t="s">
        <v>819</v>
      </c>
      <c r="ADQ97" s="975" t="s">
        <v>819</v>
      </c>
      <c r="ADR97" s="975" t="s">
        <v>819</v>
      </c>
      <c r="ADS97" s="975" t="s">
        <v>819</v>
      </c>
      <c r="ADT97" s="975" t="s">
        <v>819</v>
      </c>
      <c r="ADU97" s="975" t="s">
        <v>819</v>
      </c>
      <c r="ADV97" s="975" t="s">
        <v>819</v>
      </c>
      <c r="ADW97" s="975" t="s">
        <v>819</v>
      </c>
      <c r="ADX97" s="975" t="s">
        <v>819</v>
      </c>
      <c r="ADY97" s="975" t="s">
        <v>819</v>
      </c>
      <c r="ADZ97" s="975" t="s">
        <v>819</v>
      </c>
      <c r="AEA97" s="975" t="s">
        <v>819</v>
      </c>
      <c r="AEB97" s="975" t="s">
        <v>819</v>
      </c>
      <c r="AEC97" s="975" t="s">
        <v>819</v>
      </c>
      <c r="AED97" s="975" t="s">
        <v>819</v>
      </c>
      <c r="AEE97" s="975" t="s">
        <v>819</v>
      </c>
      <c r="AEF97" s="975" t="s">
        <v>819</v>
      </c>
      <c r="AEG97" s="975" t="s">
        <v>819</v>
      </c>
      <c r="AEH97" s="975" t="s">
        <v>819</v>
      </c>
      <c r="AEI97" s="975" t="s">
        <v>819</v>
      </c>
      <c r="AEJ97" s="975" t="s">
        <v>819</v>
      </c>
      <c r="AEK97" s="975" t="s">
        <v>819</v>
      </c>
      <c r="AEL97" s="975" t="s">
        <v>819</v>
      </c>
      <c r="AEM97" s="975" t="s">
        <v>819</v>
      </c>
      <c r="AEN97" s="975" t="s">
        <v>819</v>
      </c>
      <c r="AEO97" s="975" t="s">
        <v>819</v>
      </c>
      <c r="AEP97" s="975" t="s">
        <v>819</v>
      </c>
      <c r="AEQ97" s="975" t="s">
        <v>819</v>
      </c>
      <c r="AER97" s="975" t="s">
        <v>819</v>
      </c>
      <c r="AES97" s="975" t="s">
        <v>819</v>
      </c>
      <c r="AET97" s="975" t="s">
        <v>819</v>
      </c>
      <c r="AEU97" s="975" t="s">
        <v>819</v>
      </c>
      <c r="AEV97" s="975" t="s">
        <v>819</v>
      </c>
      <c r="AEW97" s="975" t="s">
        <v>819</v>
      </c>
      <c r="AEX97" s="975" t="s">
        <v>819</v>
      </c>
      <c r="AEY97" s="975" t="s">
        <v>819</v>
      </c>
      <c r="AEZ97" s="975" t="s">
        <v>819</v>
      </c>
      <c r="AFA97" s="975" t="s">
        <v>819</v>
      </c>
      <c r="AFB97" s="975" t="s">
        <v>819</v>
      </c>
      <c r="AFC97" s="975" t="s">
        <v>819</v>
      </c>
      <c r="AFD97" s="975" t="s">
        <v>819</v>
      </c>
      <c r="AFE97" s="975" t="s">
        <v>819</v>
      </c>
      <c r="AFF97" s="975" t="s">
        <v>819</v>
      </c>
      <c r="AFG97" s="975" t="s">
        <v>819</v>
      </c>
      <c r="AFH97" s="975" t="s">
        <v>819</v>
      </c>
      <c r="AFI97" s="975" t="s">
        <v>819</v>
      </c>
      <c r="AFJ97" s="975" t="s">
        <v>819</v>
      </c>
      <c r="AFK97" s="975" t="s">
        <v>819</v>
      </c>
      <c r="AFL97" s="975" t="s">
        <v>819</v>
      </c>
      <c r="AFM97" s="975" t="s">
        <v>819</v>
      </c>
      <c r="AFN97" s="975" t="s">
        <v>819</v>
      </c>
      <c r="AFO97" s="975" t="s">
        <v>819</v>
      </c>
      <c r="AFP97" s="975" t="s">
        <v>819</v>
      </c>
      <c r="AFQ97" s="975" t="s">
        <v>819</v>
      </c>
      <c r="AFR97" s="975" t="s">
        <v>819</v>
      </c>
      <c r="AFS97" s="975" t="s">
        <v>819</v>
      </c>
      <c r="AFT97" s="975" t="s">
        <v>819</v>
      </c>
      <c r="AFU97" s="975" t="s">
        <v>819</v>
      </c>
      <c r="AFV97" s="975" t="s">
        <v>819</v>
      </c>
      <c r="AFW97" s="975" t="s">
        <v>819</v>
      </c>
      <c r="AFX97" s="975" t="s">
        <v>819</v>
      </c>
      <c r="AFY97" s="975" t="s">
        <v>819</v>
      </c>
      <c r="AFZ97" s="975" t="s">
        <v>819</v>
      </c>
      <c r="AGA97" s="975" t="s">
        <v>819</v>
      </c>
      <c r="AGB97" s="975" t="s">
        <v>819</v>
      </c>
      <c r="AGC97" s="975" t="s">
        <v>819</v>
      </c>
      <c r="AGD97" s="975" t="s">
        <v>819</v>
      </c>
      <c r="AGE97" s="975" t="s">
        <v>819</v>
      </c>
      <c r="AGF97" s="975" t="s">
        <v>819</v>
      </c>
      <c r="AGG97" s="975" t="s">
        <v>819</v>
      </c>
      <c r="AGH97" s="975" t="s">
        <v>819</v>
      </c>
      <c r="AGI97" s="975" t="s">
        <v>819</v>
      </c>
      <c r="AGJ97" s="975" t="s">
        <v>819</v>
      </c>
      <c r="AGK97" s="975" t="s">
        <v>819</v>
      </c>
      <c r="AGL97" s="975" t="s">
        <v>819</v>
      </c>
      <c r="AGM97" s="975" t="s">
        <v>819</v>
      </c>
      <c r="AGN97" s="975" t="s">
        <v>819</v>
      </c>
      <c r="AGO97" s="975" t="s">
        <v>819</v>
      </c>
      <c r="AGP97" s="975" t="s">
        <v>819</v>
      </c>
      <c r="AGQ97" s="975" t="s">
        <v>819</v>
      </c>
      <c r="AGR97" s="975" t="s">
        <v>819</v>
      </c>
      <c r="AGS97" s="975" t="s">
        <v>819</v>
      </c>
      <c r="AGT97" s="975" t="s">
        <v>819</v>
      </c>
      <c r="AGU97" s="975" t="s">
        <v>819</v>
      </c>
      <c r="AGV97" s="975" t="s">
        <v>819</v>
      </c>
      <c r="AGW97" s="975" t="s">
        <v>819</v>
      </c>
      <c r="AGX97" s="975" t="s">
        <v>819</v>
      </c>
      <c r="AGY97" s="975" t="s">
        <v>819</v>
      </c>
      <c r="AGZ97" s="975" t="s">
        <v>819</v>
      </c>
      <c r="AHA97" s="975" t="s">
        <v>819</v>
      </c>
      <c r="AHB97" s="975" t="s">
        <v>819</v>
      </c>
      <c r="AHC97" s="975" t="s">
        <v>819</v>
      </c>
      <c r="AHD97" s="975" t="s">
        <v>819</v>
      </c>
      <c r="AHE97" s="975" t="s">
        <v>819</v>
      </c>
      <c r="AHF97" s="975" t="s">
        <v>819</v>
      </c>
      <c r="AHG97" s="975" t="s">
        <v>819</v>
      </c>
      <c r="AHH97" s="975" t="s">
        <v>819</v>
      </c>
      <c r="AHI97" s="975" t="s">
        <v>819</v>
      </c>
      <c r="AHJ97" s="975" t="s">
        <v>819</v>
      </c>
      <c r="AHK97" s="975" t="s">
        <v>819</v>
      </c>
      <c r="AHL97" s="975" t="s">
        <v>819</v>
      </c>
      <c r="AHM97" s="975" t="s">
        <v>819</v>
      </c>
      <c r="AHN97" s="975" t="s">
        <v>819</v>
      </c>
      <c r="AHO97" s="975" t="s">
        <v>819</v>
      </c>
      <c r="AHP97" s="975" t="s">
        <v>819</v>
      </c>
      <c r="AHQ97" s="975" t="s">
        <v>819</v>
      </c>
      <c r="AHR97" s="975" t="s">
        <v>819</v>
      </c>
      <c r="AHS97" s="975" t="s">
        <v>819</v>
      </c>
      <c r="AHT97" s="975" t="s">
        <v>819</v>
      </c>
      <c r="AHU97" s="975" t="s">
        <v>819</v>
      </c>
      <c r="AHV97" s="975" t="s">
        <v>819</v>
      </c>
      <c r="AHW97" s="975" t="s">
        <v>819</v>
      </c>
      <c r="AHX97" s="975" t="s">
        <v>819</v>
      </c>
      <c r="AHY97" s="975" t="s">
        <v>819</v>
      </c>
      <c r="AHZ97" s="975" t="s">
        <v>819</v>
      </c>
      <c r="AIA97" s="975" t="s">
        <v>819</v>
      </c>
      <c r="AIB97" s="975" t="s">
        <v>819</v>
      </c>
      <c r="AIC97" s="975" t="s">
        <v>819</v>
      </c>
      <c r="AID97" s="975" t="s">
        <v>819</v>
      </c>
      <c r="AIE97" s="975" t="s">
        <v>819</v>
      </c>
      <c r="AIF97" s="975" t="s">
        <v>819</v>
      </c>
      <c r="AIG97" s="975" t="s">
        <v>819</v>
      </c>
      <c r="AIH97" s="975" t="s">
        <v>819</v>
      </c>
      <c r="AII97" s="975" t="s">
        <v>819</v>
      </c>
      <c r="AIJ97" s="975" t="s">
        <v>819</v>
      </c>
      <c r="AIK97" s="975" t="s">
        <v>819</v>
      </c>
      <c r="AIL97" s="975" t="s">
        <v>819</v>
      </c>
      <c r="AIM97" s="975" t="s">
        <v>819</v>
      </c>
      <c r="AIN97" s="975" t="s">
        <v>819</v>
      </c>
      <c r="AIO97" s="975" t="s">
        <v>819</v>
      </c>
      <c r="AIP97" s="975" t="s">
        <v>819</v>
      </c>
      <c r="AIQ97" s="975" t="s">
        <v>819</v>
      </c>
      <c r="AIR97" s="975" t="s">
        <v>819</v>
      </c>
      <c r="AIS97" s="975" t="s">
        <v>819</v>
      </c>
      <c r="AIT97" s="975" t="s">
        <v>819</v>
      </c>
      <c r="AIU97" s="975" t="s">
        <v>819</v>
      </c>
      <c r="AIV97" s="975" t="s">
        <v>819</v>
      </c>
      <c r="AIW97" s="975" t="s">
        <v>819</v>
      </c>
      <c r="AIX97" s="975" t="s">
        <v>819</v>
      </c>
      <c r="AIY97" s="975" t="s">
        <v>819</v>
      </c>
      <c r="AIZ97" s="975" t="s">
        <v>819</v>
      </c>
      <c r="AJA97" s="975" t="s">
        <v>819</v>
      </c>
      <c r="AJB97" s="975" t="s">
        <v>819</v>
      </c>
      <c r="AJC97" s="975" t="s">
        <v>819</v>
      </c>
      <c r="AJD97" s="975" t="s">
        <v>819</v>
      </c>
      <c r="AJE97" s="975" t="s">
        <v>819</v>
      </c>
      <c r="AJF97" s="975" t="s">
        <v>819</v>
      </c>
      <c r="AJG97" s="975" t="s">
        <v>819</v>
      </c>
      <c r="AJH97" s="975" t="s">
        <v>819</v>
      </c>
      <c r="AJI97" s="975" t="s">
        <v>819</v>
      </c>
      <c r="AJJ97" s="975" t="s">
        <v>819</v>
      </c>
      <c r="AJK97" s="975" t="s">
        <v>819</v>
      </c>
      <c r="AJL97" s="975" t="s">
        <v>819</v>
      </c>
      <c r="AJM97" s="975" t="s">
        <v>819</v>
      </c>
      <c r="AJN97" s="975" t="s">
        <v>819</v>
      </c>
      <c r="AJO97" s="975" t="s">
        <v>819</v>
      </c>
      <c r="AJP97" s="975" t="s">
        <v>819</v>
      </c>
      <c r="AJQ97" s="975" t="s">
        <v>819</v>
      </c>
      <c r="AJR97" s="975" t="s">
        <v>819</v>
      </c>
      <c r="AJS97" s="975" t="s">
        <v>819</v>
      </c>
      <c r="AJT97" s="975" t="s">
        <v>819</v>
      </c>
      <c r="AJU97" s="975" t="s">
        <v>819</v>
      </c>
      <c r="AJV97" s="975" t="s">
        <v>819</v>
      </c>
      <c r="AJW97" s="975" t="s">
        <v>819</v>
      </c>
      <c r="AJX97" s="975" t="s">
        <v>819</v>
      </c>
      <c r="AJY97" s="975" t="s">
        <v>819</v>
      </c>
      <c r="AJZ97" s="975" t="s">
        <v>819</v>
      </c>
      <c r="AKA97" s="975" t="s">
        <v>819</v>
      </c>
      <c r="AKB97" s="975" t="s">
        <v>819</v>
      </c>
      <c r="AKC97" s="975" t="s">
        <v>819</v>
      </c>
      <c r="AKD97" s="975" t="s">
        <v>819</v>
      </c>
      <c r="AKE97" s="975" t="s">
        <v>819</v>
      </c>
      <c r="AKF97" s="975" t="s">
        <v>819</v>
      </c>
      <c r="AKG97" s="975" t="s">
        <v>819</v>
      </c>
      <c r="AKH97" s="975" t="s">
        <v>819</v>
      </c>
      <c r="AKI97" s="975" t="s">
        <v>819</v>
      </c>
      <c r="AKJ97" s="975" t="s">
        <v>819</v>
      </c>
      <c r="AKK97" s="975" t="s">
        <v>819</v>
      </c>
      <c r="AKL97" s="975" t="s">
        <v>819</v>
      </c>
      <c r="AKM97" s="975" t="s">
        <v>819</v>
      </c>
      <c r="AKN97" s="975" t="s">
        <v>819</v>
      </c>
      <c r="AKO97" s="975" t="s">
        <v>819</v>
      </c>
      <c r="AKP97" s="975" t="s">
        <v>819</v>
      </c>
      <c r="AKQ97" s="975" t="s">
        <v>819</v>
      </c>
      <c r="AKR97" s="975" t="s">
        <v>819</v>
      </c>
      <c r="AKS97" s="975" t="s">
        <v>819</v>
      </c>
      <c r="AKT97" s="975" t="s">
        <v>819</v>
      </c>
      <c r="AKU97" s="975" t="s">
        <v>819</v>
      </c>
      <c r="AKV97" s="975" t="s">
        <v>819</v>
      </c>
      <c r="AKW97" s="975" t="s">
        <v>819</v>
      </c>
      <c r="AKX97" s="975" t="s">
        <v>819</v>
      </c>
      <c r="AKY97" s="975" t="s">
        <v>819</v>
      </c>
      <c r="AKZ97" s="975" t="s">
        <v>819</v>
      </c>
      <c r="ALA97" s="975" t="s">
        <v>819</v>
      </c>
      <c r="ALB97" s="975" t="s">
        <v>819</v>
      </c>
      <c r="ALC97" s="975" t="s">
        <v>819</v>
      </c>
      <c r="ALD97" s="975" t="s">
        <v>819</v>
      </c>
      <c r="ALE97" s="975" t="s">
        <v>819</v>
      </c>
      <c r="ALF97" s="975" t="s">
        <v>819</v>
      </c>
      <c r="ALG97" s="975" t="s">
        <v>819</v>
      </c>
      <c r="ALH97" s="975" t="s">
        <v>819</v>
      </c>
      <c r="ALI97" s="975" t="s">
        <v>819</v>
      </c>
      <c r="ALJ97" s="975" t="s">
        <v>819</v>
      </c>
      <c r="ALK97" s="975" t="s">
        <v>819</v>
      </c>
      <c r="ALL97" s="975" t="s">
        <v>819</v>
      </c>
      <c r="ALM97" s="975" t="s">
        <v>819</v>
      </c>
      <c r="ALN97" s="975" t="s">
        <v>819</v>
      </c>
      <c r="ALO97" s="975" t="s">
        <v>819</v>
      </c>
      <c r="ALP97" s="975" t="s">
        <v>819</v>
      </c>
      <c r="ALQ97" s="975" t="s">
        <v>819</v>
      </c>
      <c r="ALR97" s="975" t="s">
        <v>819</v>
      </c>
      <c r="ALS97" s="975" t="s">
        <v>819</v>
      </c>
      <c r="ALT97" s="975" t="s">
        <v>819</v>
      </c>
      <c r="ALU97" s="975" t="s">
        <v>819</v>
      </c>
      <c r="ALV97" s="975" t="s">
        <v>819</v>
      </c>
      <c r="ALW97" s="975" t="s">
        <v>819</v>
      </c>
      <c r="ALX97" s="975" t="s">
        <v>819</v>
      </c>
      <c r="ALY97" s="975" t="s">
        <v>819</v>
      </c>
      <c r="ALZ97" s="975" t="s">
        <v>819</v>
      </c>
      <c r="AMA97" s="975" t="s">
        <v>819</v>
      </c>
      <c r="AMB97" s="975" t="s">
        <v>819</v>
      </c>
      <c r="AMC97" s="975" t="s">
        <v>819</v>
      </c>
      <c r="AMD97" s="975" t="s">
        <v>819</v>
      </c>
      <c r="AME97" s="975" t="s">
        <v>819</v>
      </c>
      <c r="AMF97" s="975" t="s">
        <v>819</v>
      </c>
      <c r="AMG97" s="975" t="s">
        <v>819</v>
      </c>
      <c r="AMH97" s="975" t="s">
        <v>819</v>
      </c>
      <c r="AMI97" s="975" t="s">
        <v>819</v>
      </c>
      <c r="AMJ97" s="975" t="s">
        <v>819</v>
      </c>
      <c r="AMK97" s="975" t="s">
        <v>819</v>
      </c>
      <c r="AML97" s="975" t="s">
        <v>819</v>
      </c>
      <c r="AMM97" s="975" t="s">
        <v>819</v>
      </c>
      <c r="AMN97" s="975" t="s">
        <v>819</v>
      </c>
      <c r="AMO97" s="975" t="s">
        <v>819</v>
      </c>
      <c r="AMP97" s="975" t="s">
        <v>819</v>
      </c>
      <c r="AMQ97" s="975" t="s">
        <v>819</v>
      </c>
      <c r="AMR97" s="975" t="s">
        <v>819</v>
      </c>
      <c r="AMS97" s="975" t="s">
        <v>819</v>
      </c>
      <c r="AMT97" s="975" t="s">
        <v>819</v>
      </c>
      <c r="AMU97" s="975" t="s">
        <v>819</v>
      </c>
      <c r="AMV97" s="975" t="s">
        <v>819</v>
      </c>
      <c r="AMW97" s="975" t="s">
        <v>819</v>
      </c>
      <c r="AMX97" s="975" t="s">
        <v>819</v>
      </c>
      <c r="AMY97" s="975" t="s">
        <v>819</v>
      </c>
      <c r="AMZ97" s="975" t="s">
        <v>819</v>
      </c>
      <c r="ANA97" s="975" t="s">
        <v>819</v>
      </c>
      <c r="ANB97" s="975" t="s">
        <v>819</v>
      </c>
      <c r="ANC97" s="975" t="s">
        <v>819</v>
      </c>
      <c r="AND97" s="975" t="s">
        <v>819</v>
      </c>
      <c r="ANE97" s="975" t="s">
        <v>819</v>
      </c>
      <c r="ANF97" s="975" t="s">
        <v>819</v>
      </c>
      <c r="ANG97" s="975" t="s">
        <v>819</v>
      </c>
      <c r="ANH97" s="975" t="s">
        <v>819</v>
      </c>
      <c r="ANI97" s="975" t="s">
        <v>819</v>
      </c>
      <c r="ANJ97" s="975" t="s">
        <v>819</v>
      </c>
      <c r="ANK97" s="975" t="s">
        <v>819</v>
      </c>
      <c r="ANL97" s="975" t="s">
        <v>819</v>
      </c>
      <c r="ANM97" s="975" t="s">
        <v>819</v>
      </c>
      <c r="ANN97" s="975" t="s">
        <v>819</v>
      </c>
      <c r="ANO97" s="975" t="s">
        <v>819</v>
      </c>
      <c r="ANP97" s="975" t="s">
        <v>819</v>
      </c>
      <c r="ANQ97" s="975" t="s">
        <v>819</v>
      </c>
      <c r="ANR97" s="975" t="s">
        <v>819</v>
      </c>
      <c r="ANS97" s="975" t="s">
        <v>819</v>
      </c>
      <c r="ANT97" s="975" t="s">
        <v>819</v>
      </c>
      <c r="ANU97" s="975" t="s">
        <v>819</v>
      </c>
      <c r="ANV97" s="975" t="s">
        <v>819</v>
      </c>
      <c r="ANW97" s="975" t="s">
        <v>819</v>
      </c>
      <c r="ANX97" s="975" t="s">
        <v>819</v>
      </c>
      <c r="ANY97" s="975" t="s">
        <v>819</v>
      </c>
      <c r="ANZ97" s="975" t="s">
        <v>819</v>
      </c>
      <c r="AOA97" s="975" t="s">
        <v>819</v>
      </c>
      <c r="AOB97" s="975" t="s">
        <v>819</v>
      </c>
      <c r="AOC97" s="975" t="s">
        <v>819</v>
      </c>
      <c r="AOD97" s="975" t="s">
        <v>819</v>
      </c>
      <c r="AOE97" s="975" t="s">
        <v>819</v>
      </c>
      <c r="AOF97" s="975" t="s">
        <v>819</v>
      </c>
      <c r="AOG97" s="975" t="s">
        <v>819</v>
      </c>
      <c r="AOH97" s="975" t="s">
        <v>819</v>
      </c>
      <c r="AOI97" s="975" t="s">
        <v>819</v>
      </c>
      <c r="AOJ97" s="975" t="s">
        <v>819</v>
      </c>
      <c r="AOK97" s="975" t="s">
        <v>819</v>
      </c>
      <c r="AOL97" s="975" t="s">
        <v>819</v>
      </c>
      <c r="AOM97" s="975" t="s">
        <v>819</v>
      </c>
      <c r="AON97" s="975" t="s">
        <v>819</v>
      </c>
      <c r="AOO97" s="975" t="s">
        <v>819</v>
      </c>
      <c r="AOP97" s="975" t="s">
        <v>819</v>
      </c>
      <c r="AOQ97" s="975" t="s">
        <v>819</v>
      </c>
      <c r="AOR97" s="975" t="s">
        <v>819</v>
      </c>
      <c r="AOS97" s="975" t="s">
        <v>819</v>
      </c>
      <c r="AOT97" s="975" t="s">
        <v>819</v>
      </c>
      <c r="AOU97" s="975" t="s">
        <v>819</v>
      </c>
      <c r="AOV97" s="975" t="s">
        <v>819</v>
      </c>
      <c r="AOW97" s="975" t="s">
        <v>819</v>
      </c>
      <c r="AOX97" s="975" t="s">
        <v>819</v>
      </c>
      <c r="AOY97" s="975" t="s">
        <v>819</v>
      </c>
      <c r="AOZ97" s="975" t="s">
        <v>819</v>
      </c>
      <c r="APA97" s="975" t="s">
        <v>819</v>
      </c>
      <c r="APB97" s="975" t="s">
        <v>819</v>
      </c>
      <c r="APC97" s="975" t="s">
        <v>819</v>
      </c>
      <c r="APD97" s="975" t="s">
        <v>819</v>
      </c>
      <c r="APE97" s="975" t="s">
        <v>819</v>
      </c>
      <c r="APF97" s="975" t="s">
        <v>819</v>
      </c>
      <c r="APG97" s="975" t="s">
        <v>819</v>
      </c>
      <c r="APH97" s="975" t="s">
        <v>819</v>
      </c>
      <c r="API97" s="975" t="s">
        <v>819</v>
      </c>
      <c r="APJ97" s="975" t="s">
        <v>819</v>
      </c>
      <c r="APK97" s="975" t="s">
        <v>819</v>
      </c>
      <c r="APL97" s="975" t="s">
        <v>819</v>
      </c>
      <c r="APM97" s="975" t="s">
        <v>819</v>
      </c>
      <c r="APN97" s="975" t="s">
        <v>819</v>
      </c>
      <c r="APO97" s="975" t="s">
        <v>819</v>
      </c>
      <c r="APP97" s="975" t="s">
        <v>819</v>
      </c>
      <c r="APQ97" s="975" t="s">
        <v>819</v>
      </c>
      <c r="APR97" s="975" t="s">
        <v>819</v>
      </c>
      <c r="APS97" s="975" t="s">
        <v>819</v>
      </c>
      <c r="APT97" s="975" t="s">
        <v>819</v>
      </c>
      <c r="APU97" s="975" t="s">
        <v>819</v>
      </c>
      <c r="APV97" s="975" t="s">
        <v>819</v>
      </c>
      <c r="APW97" s="975" t="s">
        <v>819</v>
      </c>
      <c r="APX97" s="975" t="s">
        <v>819</v>
      </c>
      <c r="APY97" s="975" t="s">
        <v>819</v>
      </c>
      <c r="APZ97" s="975" t="s">
        <v>819</v>
      </c>
      <c r="AQA97" s="975" t="s">
        <v>819</v>
      </c>
      <c r="AQB97" s="975" t="s">
        <v>819</v>
      </c>
      <c r="AQC97" s="975" t="s">
        <v>819</v>
      </c>
      <c r="AQD97" s="975" t="s">
        <v>819</v>
      </c>
      <c r="AQE97" s="975" t="s">
        <v>819</v>
      </c>
      <c r="AQF97" s="975" t="s">
        <v>819</v>
      </c>
      <c r="AQG97" s="975" t="s">
        <v>819</v>
      </c>
      <c r="AQH97" s="975" t="s">
        <v>819</v>
      </c>
      <c r="AQI97" s="975" t="s">
        <v>819</v>
      </c>
      <c r="AQJ97" s="975" t="s">
        <v>819</v>
      </c>
      <c r="AQK97" s="975" t="s">
        <v>819</v>
      </c>
      <c r="AQL97" s="975" t="s">
        <v>819</v>
      </c>
      <c r="AQM97" s="975" t="s">
        <v>819</v>
      </c>
      <c r="AQN97" s="975" t="s">
        <v>819</v>
      </c>
      <c r="AQO97" s="975" t="s">
        <v>819</v>
      </c>
      <c r="AQP97" s="975" t="s">
        <v>819</v>
      </c>
      <c r="AQQ97" s="975" t="s">
        <v>819</v>
      </c>
      <c r="AQR97" s="975" t="s">
        <v>819</v>
      </c>
      <c r="AQS97" s="975" t="s">
        <v>819</v>
      </c>
      <c r="AQT97" s="975" t="s">
        <v>819</v>
      </c>
      <c r="AQU97" s="975" t="s">
        <v>819</v>
      </c>
      <c r="AQV97" s="975" t="s">
        <v>819</v>
      </c>
      <c r="AQW97" s="975" t="s">
        <v>819</v>
      </c>
      <c r="AQX97" s="975" t="s">
        <v>819</v>
      </c>
      <c r="AQY97" s="975" t="s">
        <v>819</v>
      </c>
      <c r="AQZ97" s="975" t="s">
        <v>819</v>
      </c>
      <c r="ARA97" s="975" t="s">
        <v>819</v>
      </c>
      <c r="ARB97" s="975" t="s">
        <v>819</v>
      </c>
      <c r="ARC97" s="975" t="s">
        <v>819</v>
      </c>
      <c r="ARD97" s="975" t="s">
        <v>819</v>
      </c>
      <c r="ARE97" s="975" t="s">
        <v>819</v>
      </c>
      <c r="ARF97" s="975" t="s">
        <v>819</v>
      </c>
      <c r="ARG97" s="975" t="s">
        <v>819</v>
      </c>
      <c r="ARH97" s="975" t="s">
        <v>819</v>
      </c>
      <c r="ARI97" s="975" t="s">
        <v>819</v>
      </c>
      <c r="ARJ97" s="975" t="s">
        <v>819</v>
      </c>
      <c r="ARK97" s="975" t="s">
        <v>819</v>
      </c>
      <c r="ARL97" s="975" t="s">
        <v>819</v>
      </c>
      <c r="ARM97" s="975" t="s">
        <v>819</v>
      </c>
      <c r="ARN97" s="975" t="s">
        <v>819</v>
      </c>
      <c r="ARO97" s="975" t="s">
        <v>819</v>
      </c>
      <c r="ARP97" s="975" t="s">
        <v>819</v>
      </c>
      <c r="ARQ97" s="975" t="s">
        <v>819</v>
      </c>
      <c r="ARR97" s="975" t="s">
        <v>819</v>
      </c>
      <c r="ARS97" s="975" t="s">
        <v>819</v>
      </c>
      <c r="ART97" s="975" t="s">
        <v>819</v>
      </c>
      <c r="ARU97" s="975" t="s">
        <v>819</v>
      </c>
      <c r="ARV97" s="975" t="s">
        <v>819</v>
      </c>
      <c r="ARW97" s="975" t="s">
        <v>819</v>
      </c>
      <c r="ARX97" s="975" t="s">
        <v>819</v>
      </c>
      <c r="ARY97" s="975" t="s">
        <v>819</v>
      </c>
      <c r="ARZ97" s="975" t="s">
        <v>819</v>
      </c>
      <c r="ASA97" s="975" t="s">
        <v>819</v>
      </c>
      <c r="ASB97" s="975" t="s">
        <v>819</v>
      </c>
      <c r="ASC97" s="975" t="s">
        <v>819</v>
      </c>
      <c r="ASD97" s="975" t="s">
        <v>819</v>
      </c>
      <c r="ASE97" s="975" t="s">
        <v>819</v>
      </c>
      <c r="ASF97" s="975" t="s">
        <v>819</v>
      </c>
      <c r="ASG97" s="975" t="s">
        <v>819</v>
      </c>
      <c r="ASH97" s="975" t="s">
        <v>819</v>
      </c>
      <c r="ASI97" s="975" t="s">
        <v>819</v>
      </c>
      <c r="ASJ97" s="975" t="s">
        <v>819</v>
      </c>
      <c r="ASK97" s="975" t="s">
        <v>819</v>
      </c>
      <c r="ASL97" s="975" t="s">
        <v>819</v>
      </c>
      <c r="ASM97" s="975" t="s">
        <v>819</v>
      </c>
      <c r="ASN97" s="975" t="s">
        <v>819</v>
      </c>
      <c r="ASO97" s="975" t="s">
        <v>819</v>
      </c>
      <c r="ASP97" s="975" t="s">
        <v>819</v>
      </c>
      <c r="ASQ97" s="975" t="s">
        <v>819</v>
      </c>
      <c r="ASR97" s="975" t="s">
        <v>819</v>
      </c>
      <c r="ASS97" s="975" t="s">
        <v>819</v>
      </c>
      <c r="AST97" s="975" t="s">
        <v>819</v>
      </c>
      <c r="ASU97" s="975" t="s">
        <v>819</v>
      </c>
      <c r="ASV97" s="975" t="s">
        <v>819</v>
      </c>
      <c r="ASW97" s="975" t="s">
        <v>819</v>
      </c>
      <c r="ASX97" s="975" t="s">
        <v>819</v>
      </c>
      <c r="ASY97" s="975" t="s">
        <v>819</v>
      </c>
      <c r="ASZ97" s="975" t="s">
        <v>819</v>
      </c>
      <c r="ATA97" s="975" t="s">
        <v>819</v>
      </c>
      <c r="ATB97" s="975" t="s">
        <v>819</v>
      </c>
      <c r="ATC97" s="975" t="s">
        <v>819</v>
      </c>
      <c r="ATD97" s="975" t="s">
        <v>819</v>
      </c>
      <c r="ATE97" s="975" t="s">
        <v>819</v>
      </c>
      <c r="ATF97" s="975" t="s">
        <v>819</v>
      </c>
      <c r="ATG97" s="975" t="s">
        <v>819</v>
      </c>
      <c r="ATH97" s="975" t="s">
        <v>819</v>
      </c>
      <c r="ATI97" s="975" t="s">
        <v>819</v>
      </c>
      <c r="ATJ97" s="975" t="s">
        <v>819</v>
      </c>
      <c r="ATK97" s="975" t="s">
        <v>819</v>
      </c>
      <c r="ATL97" s="975" t="s">
        <v>819</v>
      </c>
      <c r="ATM97" s="975" t="s">
        <v>819</v>
      </c>
      <c r="ATN97" s="975" t="s">
        <v>819</v>
      </c>
      <c r="ATO97" s="975" t="s">
        <v>819</v>
      </c>
      <c r="ATP97" s="975" t="s">
        <v>819</v>
      </c>
      <c r="ATQ97" s="975" t="s">
        <v>819</v>
      </c>
      <c r="ATR97" s="975" t="s">
        <v>819</v>
      </c>
      <c r="ATS97" s="975" t="s">
        <v>819</v>
      </c>
      <c r="ATT97" s="975" t="s">
        <v>819</v>
      </c>
      <c r="ATU97" s="975" t="s">
        <v>819</v>
      </c>
      <c r="ATV97" s="975" t="s">
        <v>819</v>
      </c>
      <c r="ATW97" s="975" t="s">
        <v>819</v>
      </c>
      <c r="ATX97" s="975" t="s">
        <v>819</v>
      </c>
      <c r="ATY97" s="975" t="s">
        <v>819</v>
      </c>
      <c r="ATZ97" s="975" t="s">
        <v>819</v>
      </c>
      <c r="AUA97" s="975" t="s">
        <v>819</v>
      </c>
      <c r="AUB97" s="975" t="s">
        <v>819</v>
      </c>
      <c r="AUC97" s="975" t="s">
        <v>819</v>
      </c>
      <c r="AUD97" s="975" t="s">
        <v>819</v>
      </c>
      <c r="AUE97" s="975" t="s">
        <v>819</v>
      </c>
      <c r="AUF97" s="975" t="s">
        <v>819</v>
      </c>
      <c r="AUG97" s="975" t="s">
        <v>819</v>
      </c>
      <c r="AUH97" s="975" t="s">
        <v>819</v>
      </c>
      <c r="AUI97" s="975" t="s">
        <v>819</v>
      </c>
      <c r="AUJ97" s="975" t="s">
        <v>819</v>
      </c>
      <c r="AUK97" s="975" t="s">
        <v>819</v>
      </c>
      <c r="AUL97" s="975" t="s">
        <v>819</v>
      </c>
      <c r="AUM97" s="975" t="s">
        <v>819</v>
      </c>
      <c r="AUN97" s="975" t="s">
        <v>819</v>
      </c>
      <c r="AUO97" s="975" t="s">
        <v>819</v>
      </c>
      <c r="AUP97" s="975" t="s">
        <v>819</v>
      </c>
      <c r="AUQ97" s="975" t="s">
        <v>819</v>
      </c>
      <c r="AUR97" s="975" t="s">
        <v>819</v>
      </c>
      <c r="AUS97" s="975" t="s">
        <v>819</v>
      </c>
      <c r="AUT97" s="975" t="s">
        <v>819</v>
      </c>
      <c r="AUU97" s="975" t="s">
        <v>819</v>
      </c>
      <c r="AUV97" s="975" t="s">
        <v>819</v>
      </c>
      <c r="AUW97" s="975" t="s">
        <v>819</v>
      </c>
      <c r="AUX97" s="975" t="s">
        <v>819</v>
      </c>
      <c r="AUY97" s="975" t="s">
        <v>819</v>
      </c>
      <c r="AUZ97" s="975" t="s">
        <v>819</v>
      </c>
      <c r="AVA97" s="975" t="s">
        <v>819</v>
      </c>
      <c r="AVB97" s="975" t="s">
        <v>819</v>
      </c>
      <c r="AVC97" s="975" t="s">
        <v>819</v>
      </c>
      <c r="AVD97" s="975" t="s">
        <v>819</v>
      </c>
      <c r="AVE97" s="975" t="s">
        <v>819</v>
      </c>
      <c r="AVF97" s="975" t="s">
        <v>819</v>
      </c>
      <c r="AVG97" s="975" t="s">
        <v>819</v>
      </c>
      <c r="AVH97" s="975" t="s">
        <v>819</v>
      </c>
      <c r="AVI97" s="975" t="s">
        <v>819</v>
      </c>
      <c r="AVJ97" s="975" t="s">
        <v>819</v>
      </c>
      <c r="AVK97" s="975" t="s">
        <v>819</v>
      </c>
      <c r="AVL97" s="975" t="s">
        <v>819</v>
      </c>
      <c r="AVM97" s="975" t="s">
        <v>819</v>
      </c>
      <c r="AVN97" s="975" t="s">
        <v>819</v>
      </c>
      <c r="AVO97" s="975" t="s">
        <v>819</v>
      </c>
      <c r="AVP97" s="975" t="s">
        <v>819</v>
      </c>
      <c r="AVQ97" s="975" t="s">
        <v>819</v>
      </c>
      <c r="AVR97" s="975" t="s">
        <v>819</v>
      </c>
      <c r="AVS97" s="975" t="s">
        <v>819</v>
      </c>
      <c r="AVT97" s="975" t="s">
        <v>819</v>
      </c>
      <c r="AVU97" s="975" t="s">
        <v>819</v>
      </c>
      <c r="AVV97" s="975" t="s">
        <v>819</v>
      </c>
      <c r="AVW97" s="975" t="s">
        <v>819</v>
      </c>
      <c r="AVX97" s="975" t="s">
        <v>819</v>
      </c>
      <c r="AVY97" s="975" t="s">
        <v>819</v>
      </c>
      <c r="AVZ97" s="975" t="s">
        <v>819</v>
      </c>
      <c r="AWA97" s="975" t="s">
        <v>819</v>
      </c>
      <c r="AWB97" s="975" t="s">
        <v>819</v>
      </c>
      <c r="AWC97" s="975" t="s">
        <v>819</v>
      </c>
      <c r="AWD97" s="975" t="s">
        <v>819</v>
      </c>
      <c r="AWE97" s="975" t="s">
        <v>819</v>
      </c>
      <c r="AWF97" s="975" t="s">
        <v>819</v>
      </c>
      <c r="AWG97" s="975" t="s">
        <v>819</v>
      </c>
      <c r="AWH97" s="975" t="s">
        <v>819</v>
      </c>
      <c r="AWI97" s="975" t="s">
        <v>819</v>
      </c>
      <c r="AWJ97" s="975" t="s">
        <v>819</v>
      </c>
      <c r="AWK97" s="975" t="s">
        <v>819</v>
      </c>
      <c r="AWL97" s="975" t="s">
        <v>819</v>
      </c>
      <c r="AWM97" s="975" t="s">
        <v>819</v>
      </c>
      <c r="AWN97" s="975" t="s">
        <v>819</v>
      </c>
      <c r="AWO97" s="975" t="s">
        <v>819</v>
      </c>
      <c r="AWP97" s="975" t="s">
        <v>819</v>
      </c>
      <c r="AWQ97" s="975" t="s">
        <v>819</v>
      </c>
      <c r="AWR97" s="975" t="s">
        <v>819</v>
      </c>
      <c r="AWS97" s="975" t="s">
        <v>819</v>
      </c>
      <c r="AWT97" s="975" t="s">
        <v>819</v>
      </c>
      <c r="AWU97" s="975" t="s">
        <v>819</v>
      </c>
      <c r="AWV97" s="975" t="s">
        <v>819</v>
      </c>
      <c r="AWW97" s="975" t="s">
        <v>819</v>
      </c>
      <c r="AWX97" s="975" t="s">
        <v>819</v>
      </c>
      <c r="AWY97" s="975" t="s">
        <v>819</v>
      </c>
      <c r="AWZ97" s="975" t="s">
        <v>819</v>
      </c>
      <c r="AXA97" s="975" t="s">
        <v>819</v>
      </c>
      <c r="AXB97" s="975" t="s">
        <v>819</v>
      </c>
      <c r="AXC97" s="975" t="s">
        <v>819</v>
      </c>
      <c r="AXD97" s="975" t="s">
        <v>819</v>
      </c>
      <c r="AXE97" s="975" t="s">
        <v>819</v>
      </c>
      <c r="AXF97" s="975" t="s">
        <v>819</v>
      </c>
      <c r="AXG97" s="975" t="s">
        <v>819</v>
      </c>
      <c r="AXH97" s="975" t="s">
        <v>819</v>
      </c>
      <c r="AXI97" s="975" t="s">
        <v>819</v>
      </c>
      <c r="AXJ97" s="975" t="s">
        <v>819</v>
      </c>
      <c r="AXK97" s="975" t="s">
        <v>819</v>
      </c>
      <c r="AXL97" s="975" t="s">
        <v>819</v>
      </c>
      <c r="AXM97" s="975" t="s">
        <v>819</v>
      </c>
      <c r="AXN97" s="975" t="s">
        <v>819</v>
      </c>
      <c r="AXO97" s="975" t="s">
        <v>819</v>
      </c>
      <c r="AXP97" s="975" t="s">
        <v>819</v>
      </c>
      <c r="AXQ97" s="975" t="s">
        <v>819</v>
      </c>
      <c r="AXR97" s="975" t="s">
        <v>819</v>
      </c>
      <c r="AXS97" s="975" t="s">
        <v>819</v>
      </c>
      <c r="AXT97" s="975" t="s">
        <v>819</v>
      </c>
      <c r="AXU97" s="975" t="s">
        <v>819</v>
      </c>
      <c r="AXV97" s="975" t="s">
        <v>819</v>
      </c>
      <c r="AXW97" s="975" t="s">
        <v>819</v>
      </c>
      <c r="AXX97" s="975" t="s">
        <v>819</v>
      </c>
      <c r="AXY97" s="975" t="s">
        <v>819</v>
      </c>
      <c r="AXZ97" s="975" t="s">
        <v>819</v>
      </c>
      <c r="AYA97" s="975" t="s">
        <v>819</v>
      </c>
      <c r="AYB97" s="975" t="s">
        <v>819</v>
      </c>
      <c r="AYC97" s="975" t="s">
        <v>819</v>
      </c>
      <c r="AYD97" s="975" t="s">
        <v>819</v>
      </c>
      <c r="AYE97" s="975" t="s">
        <v>819</v>
      </c>
      <c r="AYF97" s="975" t="s">
        <v>819</v>
      </c>
      <c r="AYG97" s="975" t="s">
        <v>819</v>
      </c>
      <c r="AYH97" s="975" t="s">
        <v>819</v>
      </c>
      <c r="AYI97" s="975" t="s">
        <v>819</v>
      </c>
      <c r="AYJ97" s="975" t="s">
        <v>819</v>
      </c>
      <c r="AYK97" s="975" t="s">
        <v>819</v>
      </c>
      <c r="AYL97" s="975" t="s">
        <v>819</v>
      </c>
      <c r="AYM97" s="975" t="s">
        <v>819</v>
      </c>
      <c r="AYN97" s="975" t="s">
        <v>819</v>
      </c>
      <c r="AYO97" s="975" t="s">
        <v>819</v>
      </c>
      <c r="AYP97" s="975" t="s">
        <v>819</v>
      </c>
      <c r="AYQ97" s="975" t="s">
        <v>819</v>
      </c>
      <c r="AYR97" s="975" t="s">
        <v>819</v>
      </c>
      <c r="AYS97" s="975" t="s">
        <v>819</v>
      </c>
      <c r="AYT97" s="975" t="s">
        <v>819</v>
      </c>
      <c r="AYU97" s="975" t="s">
        <v>819</v>
      </c>
      <c r="AYV97" s="975" t="s">
        <v>819</v>
      </c>
      <c r="AYW97" s="975" t="s">
        <v>819</v>
      </c>
      <c r="AYX97" s="975" t="s">
        <v>819</v>
      </c>
      <c r="AYY97" s="975" t="s">
        <v>819</v>
      </c>
      <c r="AYZ97" s="975" t="s">
        <v>819</v>
      </c>
      <c r="AZA97" s="975" t="s">
        <v>819</v>
      </c>
      <c r="AZB97" s="975" t="s">
        <v>819</v>
      </c>
      <c r="AZC97" s="975" t="s">
        <v>819</v>
      </c>
      <c r="AZD97" s="975" t="s">
        <v>819</v>
      </c>
      <c r="AZE97" s="975" t="s">
        <v>819</v>
      </c>
      <c r="AZF97" s="975" t="s">
        <v>819</v>
      </c>
      <c r="AZG97" s="975" t="s">
        <v>819</v>
      </c>
      <c r="AZH97" s="975" t="s">
        <v>819</v>
      </c>
      <c r="AZI97" s="975" t="s">
        <v>819</v>
      </c>
      <c r="AZJ97" s="975" t="s">
        <v>819</v>
      </c>
      <c r="AZK97" s="975" t="s">
        <v>819</v>
      </c>
      <c r="AZL97" s="975" t="s">
        <v>819</v>
      </c>
      <c r="AZM97" s="975" t="s">
        <v>819</v>
      </c>
      <c r="AZN97" s="975" t="s">
        <v>819</v>
      </c>
      <c r="AZO97" s="975" t="s">
        <v>819</v>
      </c>
      <c r="AZP97" s="975" t="s">
        <v>819</v>
      </c>
      <c r="AZQ97" s="975" t="s">
        <v>819</v>
      </c>
      <c r="AZR97" s="975" t="s">
        <v>819</v>
      </c>
      <c r="AZS97" s="975" t="s">
        <v>819</v>
      </c>
      <c r="AZT97" s="975" t="s">
        <v>819</v>
      </c>
      <c r="AZU97" s="975" t="s">
        <v>819</v>
      </c>
      <c r="AZV97" s="975" t="s">
        <v>819</v>
      </c>
      <c r="AZW97" s="975" t="s">
        <v>819</v>
      </c>
      <c r="AZX97" s="975" t="s">
        <v>819</v>
      </c>
      <c r="AZY97" s="975" t="s">
        <v>819</v>
      </c>
      <c r="AZZ97" s="975" t="s">
        <v>819</v>
      </c>
      <c r="BAA97" s="975" t="s">
        <v>819</v>
      </c>
      <c r="BAB97" s="975" t="s">
        <v>819</v>
      </c>
      <c r="BAC97" s="975" t="s">
        <v>819</v>
      </c>
      <c r="BAD97" s="975" t="s">
        <v>819</v>
      </c>
      <c r="BAE97" s="975" t="s">
        <v>819</v>
      </c>
      <c r="BAF97" s="975" t="s">
        <v>819</v>
      </c>
      <c r="BAG97" s="975" t="s">
        <v>819</v>
      </c>
      <c r="BAH97" s="975" t="s">
        <v>819</v>
      </c>
      <c r="BAI97" s="975" t="s">
        <v>819</v>
      </c>
      <c r="BAJ97" s="975" t="s">
        <v>819</v>
      </c>
      <c r="BAK97" s="975" t="s">
        <v>819</v>
      </c>
      <c r="BAL97" s="975" t="s">
        <v>819</v>
      </c>
      <c r="BAM97" s="975" t="s">
        <v>819</v>
      </c>
      <c r="BAN97" s="975" t="s">
        <v>819</v>
      </c>
      <c r="BAO97" s="975" t="s">
        <v>819</v>
      </c>
      <c r="BAP97" s="975" t="s">
        <v>819</v>
      </c>
      <c r="BAQ97" s="975" t="s">
        <v>819</v>
      </c>
      <c r="BAR97" s="975" t="s">
        <v>819</v>
      </c>
      <c r="BAS97" s="975" t="s">
        <v>819</v>
      </c>
      <c r="BAT97" s="975" t="s">
        <v>819</v>
      </c>
      <c r="BAU97" s="975" t="s">
        <v>819</v>
      </c>
      <c r="BAV97" s="975" t="s">
        <v>819</v>
      </c>
      <c r="BAW97" s="975" t="s">
        <v>819</v>
      </c>
      <c r="BAX97" s="975" t="s">
        <v>819</v>
      </c>
      <c r="BAY97" s="975" t="s">
        <v>819</v>
      </c>
      <c r="BAZ97" s="975" t="s">
        <v>819</v>
      </c>
      <c r="BBA97" s="975" t="s">
        <v>819</v>
      </c>
      <c r="BBB97" s="975" t="s">
        <v>819</v>
      </c>
      <c r="BBC97" s="975" t="s">
        <v>819</v>
      </c>
      <c r="BBD97" s="975" t="s">
        <v>819</v>
      </c>
      <c r="BBE97" s="975" t="s">
        <v>819</v>
      </c>
      <c r="BBF97" s="975" t="s">
        <v>819</v>
      </c>
      <c r="BBG97" s="975" t="s">
        <v>819</v>
      </c>
      <c r="BBH97" s="975" t="s">
        <v>819</v>
      </c>
      <c r="BBI97" s="975" t="s">
        <v>819</v>
      </c>
      <c r="BBJ97" s="975" t="s">
        <v>819</v>
      </c>
      <c r="BBK97" s="975" t="s">
        <v>819</v>
      </c>
      <c r="BBL97" s="975" t="s">
        <v>819</v>
      </c>
      <c r="BBM97" s="975" t="s">
        <v>819</v>
      </c>
      <c r="BBN97" s="975" t="s">
        <v>819</v>
      </c>
      <c r="BBO97" s="975" t="s">
        <v>819</v>
      </c>
      <c r="BBP97" s="975" t="s">
        <v>819</v>
      </c>
      <c r="BBQ97" s="975" t="s">
        <v>819</v>
      </c>
      <c r="BBR97" s="975" t="s">
        <v>819</v>
      </c>
      <c r="BBS97" s="975" t="s">
        <v>819</v>
      </c>
      <c r="BBT97" s="975" t="s">
        <v>819</v>
      </c>
      <c r="BBU97" s="975" t="s">
        <v>819</v>
      </c>
      <c r="BBV97" s="975" t="s">
        <v>819</v>
      </c>
      <c r="BBW97" s="975" t="s">
        <v>819</v>
      </c>
      <c r="BBX97" s="975" t="s">
        <v>819</v>
      </c>
      <c r="BBY97" s="975" t="s">
        <v>819</v>
      </c>
      <c r="BBZ97" s="975" t="s">
        <v>819</v>
      </c>
      <c r="BCA97" s="975" t="s">
        <v>819</v>
      </c>
      <c r="BCB97" s="975" t="s">
        <v>819</v>
      </c>
      <c r="BCC97" s="975" t="s">
        <v>819</v>
      </c>
      <c r="BCD97" s="975" t="s">
        <v>819</v>
      </c>
      <c r="BCE97" s="975" t="s">
        <v>819</v>
      </c>
      <c r="BCF97" s="975" t="s">
        <v>819</v>
      </c>
      <c r="BCG97" s="975" t="s">
        <v>819</v>
      </c>
      <c r="BCH97" s="975" t="s">
        <v>819</v>
      </c>
      <c r="BCI97" s="975" t="s">
        <v>819</v>
      </c>
      <c r="BCJ97" s="975" t="s">
        <v>819</v>
      </c>
      <c r="BCK97" s="975" t="s">
        <v>819</v>
      </c>
      <c r="BCL97" s="975" t="s">
        <v>819</v>
      </c>
      <c r="BCM97" s="975" t="s">
        <v>819</v>
      </c>
      <c r="BCN97" s="975" t="s">
        <v>819</v>
      </c>
      <c r="BCO97" s="975" t="s">
        <v>819</v>
      </c>
      <c r="BCP97" s="975" t="s">
        <v>819</v>
      </c>
      <c r="BCQ97" s="975" t="s">
        <v>819</v>
      </c>
      <c r="BCR97" s="975" t="s">
        <v>819</v>
      </c>
      <c r="BCS97" s="975" t="s">
        <v>819</v>
      </c>
      <c r="BCT97" s="975" t="s">
        <v>819</v>
      </c>
      <c r="BCU97" s="975" t="s">
        <v>819</v>
      </c>
      <c r="BCV97" s="975" t="s">
        <v>819</v>
      </c>
      <c r="BCW97" s="975" t="s">
        <v>819</v>
      </c>
      <c r="BCX97" s="975" t="s">
        <v>819</v>
      </c>
      <c r="BCY97" s="975" t="s">
        <v>819</v>
      </c>
      <c r="BCZ97" s="975" t="s">
        <v>819</v>
      </c>
      <c r="BDA97" s="975" t="s">
        <v>819</v>
      </c>
      <c r="BDB97" s="975" t="s">
        <v>819</v>
      </c>
      <c r="BDC97" s="975" t="s">
        <v>819</v>
      </c>
      <c r="BDD97" s="975" t="s">
        <v>819</v>
      </c>
      <c r="BDE97" s="975" t="s">
        <v>819</v>
      </c>
      <c r="BDF97" s="975" t="s">
        <v>819</v>
      </c>
      <c r="BDG97" s="975" t="s">
        <v>819</v>
      </c>
      <c r="BDH97" s="975" t="s">
        <v>819</v>
      </c>
      <c r="BDI97" s="975" t="s">
        <v>819</v>
      </c>
      <c r="BDJ97" s="975" t="s">
        <v>819</v>
      </c>
      <c r="BDK97" s="975" t="s">
        <v>819</v>
      </c>
      <c r="BDL97" s="975" t="s">
        <v>819</v>
      </c>
      <c r="BDM97" s="975" t="s">
        <v>819</v>
      </c>
      <c r="BDN97" s="975" t="s">
        <v>819</v>
      </c>
      <c r="BDO97" s="975" t="s">
        <v>819</v>
      </c>
      <c r="BDP97" s="975" t="s">
        <v>819</v>
      </c>
      <c r="BDQ97" s="975" t="s">
        <v>819</v>
      </c>
      <c r="BDR97" s="975" t="s">
        <v>819</v>
      </c>
      <c r="BDS97" s="975" t="s">
        <v>819</v>
      </c>
      <c r="BDT97" s="975" t="s">
        <v>819</v>
      </c>
      <c r="BDU97" s="975" t="s">
        <v>819</v>
      </c>
      <c r="BDV97" s="975" t="s">
        <v>819</v>
      </c>
      <c r="BDW97" s="975" t="s">
        <v>819</v>
      </c>
      <c r="BDX97" s="975" t="s">
        <v>819</v>
      </c>
      <c r="BDY97" s="975" t="s">
        <v>819</v>
      </c>
      <c r="BDZ97" s="975" t="s">
        <v>819</v>
      </c>
      <c r="BEA97" s="975" t="s">
        <v>819</v>
      </c>
      <c r="BEB97" s="975" t="s">
        <v>819</v>
      </c>
      <c r="BEC97" s="975" t="s">
        <v>819</v>
      </c>
      <c r="BED97" s="975" t="s">
        <v>819</v>
      </c>
      <c r="BEE97" s="975" t="s">
        <v>819</v>
      </c>
      <c r="BEF97" s="975" t="s">
        <v>819</v>
      </c>
      <c r="BEG97" s="975" t="s">
        <v>819</v>
      </c>
      <c r="BEH97" s="975" t="s">
        <v>819</v>
      </c>
      <c r="BEI97" s="975" t="s">
        <v>819</v>
      </c>
      <c r="BEJ97" s="975" t="s">
        <v>819</v>
      </c>
      <c r="BEK97" s="975" t="s">
        <v>819</v>
      </c>
      <c r="BEL97" s="975" t="s">
        <v>819</v>
      </c>
      <c r="BEM97" s="975" t="s">
        <v>819</v>
      </c>
      <c r="BEN97" s="975" t="s">
        <v>819</v>
      </c>
      <c r="BEO97" s="975" t="s">
        <v>819</v>
      </c>
      <c r="BEP97" s="975" t="s">
        <v>819</v>
      </c>
      <c r="BEQ97" s="975" t="s">
        <v>819</v>
      </c>
      <c r="BER97" s="975" t="s">
        <v>819</v>
      </c>
      <c r="BES97" s="975" t="s">
        <v>819</v>
      </c>
      <c r="BET97" s="975" t="s">
        <v>819</v>
      </c>
      <c r="BEU97" s="975" t="s">
        <v>819</v>
      </c>
      <c r="BEV97" s="975" t="s">
        <v>819</v>
      </c>
      <c r="BEW97" s="975" t="s">
        <v>819</v>
      </c>
      <c r="BEX97" s="975" t="s">
        <v>819</v>
      </c>
      <c r="BEY97" s="975" t="s">
        <v>819</v>
      </c>
      <c r="BEZ97" s="975" t="s">
        <v>819</v>
      </c>
      <c r="BFA97" s="975" t="s">
        <v>819</v>
      </c>
      <c r="BFB97" s="975" t="s">
        <v>819</v>
      </c>
      <c r="BFC97" s="975" t="s">
        <v>819</v>
      </c>
      <c r="BFD97" s="975" t="s">
        <v>819</v>
      </c>
      <c r="BFE97" s="975" t="s">
        <v>819</v>
      </c>
      <c r="BFF97" s="975" t="s">
        <v>819</v>
      </c>
      <c r="BFG97" s="975" t="s">
        <v>819</v>
      </c>
      <c r="BFH97" s="975" t="s">
        <v>819</v>
      </c>
      <c r="BFI97" s="975" t="s">
        <v>819</v>
      </c>
      <c r="BFJ97" s="975" t="s">
        <v>819</v>
      </c>
      <c r="BFK97" s="975" t="s">
        <v>819</v>
      </c>
      <c r="BFL97" s="975" t="s">
        <v>819</v>
      </c>
      <c r="BFM97" s="975" t="s">
        <v>819</v>
      </c>
      <c r="BFN97" s="975" t="s">
        <v>819</v>
      </c>
      <c r="BFO97" s="975" t="s">
        <v>819</v>
      </c>
      <c r="BFP97" s="975" t="s">
        <v>819</v>
      </c>
      <c r="BFQ97" s="975" t="s">
        <v>819</v>
      </c>
      <c r="BFR97" s="975" t="s">
        <v>819</v>
      </c>
      <c r="BFS97" s="975" t="s">
        <v>819</v>
      </c>
      <c r="BFT97" s="975" t="s">
        <v>819</v>
      </c>
      <c r="BFU97" s="975" t="s">
        <v>819</v>
      </c>
      <c r="BFV97" s="975" t="s">
        <v>819</v>
      </c>
      <c r="BFW97" s="975" t="s">
        <v>819</v>
      </c>
      <c r="BFX97" s="975" t="s">
        <v>819</v>
      </c>
      <c r="BFY97" s="975" t="s">
        <v>819</v>
      </c>
      <c r="BFZ97" s="975" t="s">
        <v>819</v>
      </c>
      <c r="BGA97" s="975" t="s">
        <v>819</v>
      </c>
      <c r="BGB97" s="975" t="s">
        <v>819</v>
      </c>
      <c r="BGC97" s="975" t="s">
        <v>819</v>
      </c>
      <c r="BGD97" s="975" t="s">
        <v>819</v>
      </c>
      <c r="BGE97" s="975" t="s">
        <v>819</v>
      </c>
      <c r="BGF97" s="975" t="s">
        <v>819</v>
      </c>
      <c r="BGG97" s="975" t="s">
        <v>819</v>
      </c>
      <c r="BGH97" s="975" t="s">
        <v>819</v>
      </c>
      <c r="BGI97" s="975" t="s">
        <v>819</v>
      </c>
      <c r="BGJ97" s="975" t="s">
        <v>819</v>
      </c>
      <c r="BGK97" s="975" t="s">
        <v>819</v>
      </c>
      <c r="BGL97" s="975" t="s">
        <v>819</v>
      </c>
      <c r="BGM97" s="975" t="s">
        <v>819</v>
      </c>
      <c r="BGN97" s="975" t="s">
        <v>819</v>
      </c>
      <c r="BGO97" s="975" t="s">
        <v>819</v>
      </c>
      <c r="BGP97" s="975" t="s">
        <v>819</v>
      </c>
      <c r="BGQ97" s="975" t="s">
        <v>819</v>
      </c>
      <c r="BGR97" s="975" t="s">
        <v>819</v>
      </c>
      <c r="BGS97" s="975" t="s">
        <v>819</v>
      </c>
      <c r="BGT97" s="975" t="s">
        <v>819</v>
      </c>
      <c r="BGU97" s="975" t="s">
        <v>819</v>
      </c>
      <c r="BGV97" s="975" t="s">
        <v>819</v>
      </c>
      <c r="BGW97" s="975" t="s">
        <v>819</v>
      </c>
      <c r="BGX97" s="975" t="s">
        <v>819</v>
      </c>
      <c r="BGY97" s="975" t="s">
        <v>819</v>
      </c>
      <c r="BGZ97" s="975" t="s">
        <v>819</v>
      </c>
      <c r="BHA97" s="975" t="s">
        <v>819</v>
      </c>
      <c r="BHB97" s="975" t="s">
        <v>819</v>
      </c>
      <c r="BHC97" s="975" t="s">
        <v>819</v>
      </c>
      <c r="BHD97" s="975" t="s">
        <v>819</v>
      </c>
      <c r="BHE97" s="975" t="s">
        <v>819</v>
      </c>
      <c r="BHF97" s="975" t="s">
        <v>819</v>
      </c>
      <c r="BHG97" s="975" t="s">
        <v>819</v>
      </c>
      <c r="BHH97" s="975" t="s">
        <v>819</v>
      </c>
      <c r="BHI97" s="975" t="s">
        <v>819</v>
      </c>
      <c r="BHJ97" s="975" t="s">
        <v>819</v>
      </c>
      <c r="BHK97" s="975" t="s">
        <v>819</v>
      </c>
      <c r="BHL97" s="975" t="s">
        <v>819</v>
      </c>
      <c r="BHM97" s="975" t="s">
        <v>819</v>
      </c>
      <c r="BHN97" s="975" t="s">
        <v>819</v>
      </c>
      <c r="BHO97" s="975" t="s">
        <v>819</v>
      </c>
      <c r="BHP97" s="975" t="s">
        <v>819</v>
      </c>
      <c r="BHQ97" s="975" t="s">
        <v>819</v>
      </c>
      <c r="BHR97" s="975" t="s">
        <v>819</v>
      </c>
      <c r="BHS97" s="975" t="s">
        <v>819</v>
      </c>
      <c r="BHT97" s="975" t="s">
        <v>819</v>
      </c>
      <c r="BHU97" s="975" t="s">
        <v>819</v>
      </c>
      <c r="BHV97" s="975" t="s">
        <v>819</v>
      </c>
      <c r="BHW97" s="975" t="s">
        <v>819</v>
      </c>
      <c r="BHX97" s="975" t="s">
        <v>819</v>
      </c>
      <c r="BHY97" s="975" t="s">
        <v>819</v>
      </c>
      <c r="BHZ97" s="975" t="s">
        <v>819</v>
      </c>
      <c r="BIA97" s="975" t="s">
        <v>819</v>
      </c>
      <c r="BIB97" s="975" t="s">
        <v>819</v>
      </c>
      <c r="BIC97" s="975" t="s">
        <v>819</v>
      </c>
      <c r="BID97" s="975" t="s">
        <v>819</v>
      </c>
      <c r="BIE97" s="975" t="s">
        <v>819</v>
      </c>
      <c r="BIF97" s="975" t="s">
        <v>819</v>
      </c>
      <c r="BIG97" s="975" t="s">
        <v>819</v>
      </c>
      <c r="BIH97" s="975" t="s">
        <v>819</v>
      </c>
      <c r="BII97" s="975" t="s">
        <v>819</v>
      </c>
      <c r="BIJ97" s="975" t="s">
        <v>819</v>
      </c>
      <c r="BIK97" s="975" t="s">
        <v>819</v>
      </c>
      <c r="BIL97" s="975" t="s">
        <v>819</v>
      </c>
      <c r="BIM97" s="975" t="s">
        <v>819</v>
      </c>
      <c r="BIN97" s="975" t="s">
        <v>819</v>
      </c>
      <c r="BIO97" s="975" t="s">
        <v>819</v>
      </c>
      <c r="BIP97" s="975" t="s">
        <v>819</v>
      </c>
      <c r="BIQ97" s="975" t="s">
        <v>819</v>
      </c>
      <c r="BIR97" s="975" t="s">
        <v>819</v>
      </c>
      <c r="BIS97" s="975" t="s">
        <v>819</v>
      </c>
      <c r="BIT97" s="975" t="s">
        <v>819</v>
      </c>
      <c r="BIU97" s="975" t="s">
        <v>819</v>
      </c>
      <c r="BIV97" s="975" t="s">
        <v>819</v>
      </c>
      <c r="BIW97" s="975" t="s">
        <v>819</v>
      </c>
      <c r="BIX97" s="975" t="s">
        <v>819</v>
      </c>
      <c r="BIY97" s="975" t="s">
        <v>819</v>
      </c>
      <c r="BIZ97" s="975" t="s">
        <v>819</v>
      </c>
      <c r="BJA97" s="975" t="s">
        <v>819</v>
      </c>
      <c r="BJB97" s="975" t="s">
        <v>819</v>
      </c>
      <c r="BJC97" s="975" t="s">
        <v>819</v>
      </c>
      <c r="BJD97" s="975" t="s">
        <v>819</v>
      </c>
      <c r="BJE97" s="975" t="s">
        <v>819</v>
      </c>
      <c r="BJF97" s="975" t="s">
        <v>819</v>
      </c>
      <c r="BJG97" s="975" t="s">
        <v>819</v>
      </c>
      <c r="BJH97" s="975" t="s">
        <v>819</v>
      </c>
      <c r="BJI97" s="975" t="s">
        <v>819</v>
      </c>
      <c r="BJJ97" s="975" t="s">
        <v>819</v>
      </c>
      <c r="BJK97" s="975" t="s">
        <v>819</v>
      </c>
      <c r="BJL97" s="975" t="s">
        <v>819</v>
      </c>
      <c r="BJM97" s="975" t="s">
        <v>819</v>
      </c>
      <c r="BJN97" s="975" t="s">
        <v>819</v>
      </c>
      <c r="BJO97" s="975" t="s">
        <v>819</v>
      </c>
      <c r="BJP97" s="975" t="s">
        <v>819</v>
      </c>
      <c r="BJQ97" s="975" t="s">
        <v>819</v>
      </c>
      <c r="BJR97" s="975" t="s">
        <v>819</v>
      </c>
      <c r="BJS97" s="975" t="s">
        <v>819</v>
      </c>
      <c r="BJT97" s="975" t="s">
        <v>819</v>
      </c>
      <c r="BJU97" s="975" t="s">
        <v>819</v>
      </c>
      <c r="BJV97" s="975" t="s">
        <v>819</v>
      </c>
      <c r="BJW97" s="975" t="s">
        <v>819</v>
      </c>
      <c r="BJX97" s="975" t="s">
        <v>819</v>
      </c>
      <c r="BJY97" s="975" t="s">
        <v>819</v>
      </c>
      <c r="BJZ97" s="975" t="s">
        <v>819</v>
      </c>
      <c r="BKA97" s="975" t="s">
        <v>819</v>
      </c>
      <c r="BKB97" s="975" t="s">
        <v>819</v>
      </c>
      <c r="BKC97" s="975" t="s">
        <v>819</v>
      </c>
      <c r="BKD97" s="975" t="s">
        <v>819</v>
      </c>
      <c r="BKE97" s="975" t="s">
        <v>819</v>
      </c>
      <c r="BKF97" s="975" t="s">
        <v>819</v>
      </c>
      <c r="BKG97" s="975" t="s">
        <v>819</v>
      </c>
      <c r="BKH97" s="975" t="s">
        <v>819</v>
      </c>
      <c r="BKI97" s="975" t="s">
        <v>819</v>
      </c>
      <c r="BKJ97" s="975" t="s">
        <v>819</v>
      </c>
      <c r="BKK97" s="975" t="s">
        <v>819</v>
      </c>
      <c r="BKL97" s="975" t="s">
        <v>819</v>
      </c>
      <c r="BKM97" s="975" t="s">
        <v>819</v>
      </c>
      <c r="BKN97" s="975" t="s">
        <v>819</v>
      </c>
      <c r="BKO97" s="975" t="s">
        <v>819</v>
      </c>
      <c r="BKP97" s="975" t="s">
        <v>819</v>
      </c>
      <c r="BKQ97" s="975" t="s">
        <v>819</v>
      </c>
      <c r="BKR97" s="975" t="s">
        <v>819</v>
      </c>
      <c r="BKS97" s="975" t="s">
        <v>819</v>
      </c>
      <c r="BKT97" s="975" t="s">
        <v>819</v>
      </c>
      <c r="BKU97" s="975" t="s">
        <v>819</v>
      </c>
      <c r="BKV97" s="975" t="s">
        <v>819</v>
      </c>
      <c r="BKW97" s="975" t="s">
        <v>819</v>
      </c>
      <c r="BKX97" s="975" t="s">
        <v>819</v>
      </c>
      <c r="BKY97" s="975" t="s">
        <v>819</v>
      </c>
      <c r="BKZ97" s="975" t="s">
        <v>819</v>
      </c>
      <c r="BLA97" s="975" t="s">
        <v>819</v>
      </c>
      <c r="BLB97" s="975" t="s">
        <v>819</v>
      </c>
      <c r="BLC97" s="975" t="s">
        <v>819</v>
      </c>
      <c r="BLD97" s="975" t="s">
        <v>819</v>
      </c>
      <c r="BLE97" s="975" t="s">
        <v>819</v>
      </c>
      <c r="BLF97" s="975" t="s">
        <v>819</v>
      </c>
      <c r="BLG97" s="975" t="s">
        <v>819</v>
      </c>
      <c r="BLH97" s="975" t="s">
        <v>819</v>
      </c>
      <c r="BLI97" s="975" t="s">
        <v>819</v>
      </c>
      <c r="BLJ97" s="975" t="s">
        <v>819</v>
      </c>
      <c r="BLK97" s="975" t="s">
        <v>819</v>
      </c>
      <c r="BLL97" s="975" t="s">
        <v>819</v>
      </c>
      <c r="BLM97" s="975" t="s">
        <v>819</v>
      </c>
      <c r="BLN97" s="975" t="s">
        <v>819</v>
      </c>
      <c r="BLO97" s="975" t="s">
        <v>819</v>
      </c>
      <c r="BLP97" s="975" t="s">
        <v>819</v>
      </c>
      <c r="BLQ97" s="975" t="s">
        <v>819</v>
      </c>
      <c r="BLR97" s="975" t="s">
        <v>819</v>
      </c>
      <c r="BLS97" s="975" t="s">
        <v>819</v>
      </c>
      <c r="BLT97" s="975" t="s">
        <v>819</v>
      </c>
      <c r="BLU97" s="975" t="s">
        <v>819</v>
      </c>
      <c r="BLV97" s="975" t="s">
        <v>819</v>
      </c>
      <c r="BLW97" s="975" t="s">
        <v>819</v>
      </c>
      <c r="BLX97" s="975" t="s">
        <v>819</v>
      </c>
      <c r="BLY97" s="975" t="s">
        <v>819</v>
      </c>
      <c r="BLZ97" s="975" t="s">
        <v>819</v>
      </c>
      <c r="BMA97" s="975" t="s">
        <v>819</v>
      </c>
      <c r="BMB97" s="975" t="s">
        <v>819</v>
      </c>
      <c r="BMC97" s="975" t="s">
        <v>819</v>
      </c>
      <c r="BMD97" s="975" t="s">
        <v>819</v>
      </c>
      <c r="BME97" s="975" t="s">
        <v>819</v>
      </c>
      <c r="BMF97" s="975" t="s">
        <v>819</v>
      </c>
      <c r="BMG97" s="975" t="s">
        <v>819</v>
      </c>
      <c r="BMH97" s="975" t="s">
        <v>819</v>
      </c>
      <c r="BMI97" s="975" t="s">
        <v>819</v>
      </c>
      <c r="BMJ97" s="975" t="s">
        <v>819</v>
      </c>
      <c r="BMK97" s="975" t="s">
        <v>819</v>
      </c>
      <c r="BML97" s="975" t="s">
        <v>819</v>
      </c>
      <c r="BMM97" s="975" t="s">
        <v>819</v>
      </c>
      <c r="BMN97" s="975" t="s">
        <v>819</v>
      </c>
      <c r="BMO97" s="975" t="s">
        <v>819</v>
      </c>
      <c r="BMP97" s="975" t="s">
        <v>819</v>
      </c>
      <c r="BMQ97" s="975" t="s">
        <v>819</v>
      </c>
      <c r="BMR97" s="975" t="s">
        <v>819</v>
      </c>
      <c r="BMS97" s="975" t="s">
        <v>819</v>
      </c>
      <c r="BMT97" s="975" t="s">
        <v>819</v>
      </c>
      <c r="BMU97" s="975" t="s">
        <v>819</v>
      </c>
      <c r="BMV97" s="975" t="s">
        <v>819</v>
      </c>
      <c r="BMW97" s="975" t="s">
        <v>819</v>
      </c>
      <c r="BMX97" s="975" t="s">
        <v>819</v>
      </c>
      <c r="BMY97" s="975" t="s">
        <v>819</v>
      </c>
      <c r="BMZ97" s="975" t="s">
        <v>819</v>
      </c>
      <c r="BNA97" s="975" t="s">
        <v>819</v>
      </c>
      <c r="BNB97" s="975" t="s">
        <v>819</v>
      </c>
      <c r="BNC97" s="975" t="s">
        <v>819</v>
      </c>
      <c r="BND97" s="975" t="s">
        <v>819</v>
      </c>
      <c r="BNE97" s="975" t="s">
        <v>819</v>
      </c>
      <c r="BNF97" s="975" t="s">
        <v>819</v>
      </c>
      <c r="BNG97" s="975" t="s">
        <v>819</v>
      </c>
      <c r="BNH97" s="975" t="s">
        <v>819</v>
      </c>
      <c r="BNI97" s="975" t="s">
        <v>819</v>
      </c>
      <c r="BNJ97" s="975" t="s">
        <v>819</v>
      </c>
      <c r="BNK97" s="975" t="s">
        <v>819</v>
      </c>
      <c r="BNL97" s="975" t="s">
        <v>819</v>
      </c>
      <c r="BNM97" s="975" t="s">
        <v>819</v>
      </c>
      <c r="BNN97" s="975" t="s">
        <v>819</v>
      </c>
      <c r="BNO97" s="975" t="s">
        <v>819</v>
      </c>
      <c r="BNP97" s="975" t="s">
        <v>819</v>
      </c>
      <c r="BNQ97" s="975" t="s">
        <v>819</v>
      </c>
      <c r="BNR97" s="975" t="s">
        <v>819</v>
      </c>
      <c r="BNS97" s="975" t="s">
        <v>819</v>
      </c>
      <c r="BNT97" s="975" t="s">
        <v>819</v>
      </c>
      <c r="BNU97" s="975" t="s">
        <v>819</v>
      </c>
      <c r="BNV97" s="975" t="s">
        <v>819</v>
      </c>
      <c r="BNW97" s="975" t="s">
        <v>819</v>
      </c>
      <c r="BNX97" s="975" t="s">
        <v>819</v>
      </c>
      <c r="BNY97" s="975" t="s">
        <v>819</v>
      </c>
      <c r="BNZ97" s="975" t="s">
        <v>819</v>
      </c>
      <c r="BOA97" s="975" t="s">
        <v>819</v>
      </c>
      <c r="BOB97" s="975" t="s">
        <v>819</v>
      </c>
      <c r="BOC97" s="975" t="s">
        <v>819</v>
      </c>
      <c r="BOD97" s="975" t="s">
        <v>819</v>
      </c>
      <c r="BOE97" s="975" t="s">
        <v>819</v>
      </c>
      <c r="BOF97" s="975" t="s">
        <v>819</v>
      </c>
      <c r="BOG97" s="975" t="s">
        <v>819</v>
      </c>
      <c r="BOH97" s="975" t="s">
        <v>819</v>
      </c>
      <c r="BOI97" s="975" t="s">
        <v>819</v>
      </c>
      <c r="BOJ97" s="975" t="s">
        <v>819</v>
      </c>
      <c r="BOK97" s="975" t="s">
        <v>819</v>
      </c>
      <c r="BOL97" s="975" t="s">
        <v>819</v>
      </c>
      <c r="BOM97" s="975" t="s">
        <v>819</v>
      </c>
      <c r="BON97" s="975" t="s">
        <v>819</v>
      </c>
      <c r="BOO97" s="975" t="s">
        <v>819</v>
      </c>
      <c r="BOP97" s="975" t="s">
        <v>819</v>
      </c>
      <c r="BOQ97" s="975" t="s">
        <v>819</v>
      </c>
      <c r="BOR97" s="975" t="s">
        <v>819</v>
      </c>
      <c r="BOS97" s="975" t="s">
        <v>819</v>
      </c>
      <c r="BOT97" s="975" t="s">
        <v>819</v>
      </c>
      <c r="BOU97" s="975" t="s">
        <v>819</v>
      </c>
      <c r="BOV97" s="975" t="s">
        <v>819</v>
      </c>
      <c r="BOW97" s="975" t="s">
        <v>819</v>
      </c>
      <c r="BOX97" s="975" t="s">
        <v>819</v>
      </c>
      <c r="BOY97" s="975" t="s">
        <v>819</v>
      </c>
      <c r="BOZ97" s="975" t="s">
        <v>819</v>
      </c>
      <c r="BPA97" s="975" t="s">
        <v>819</v>
      </c>
      <c r="BPB97" s="975" t="s">
        <v>819</v>
      </c>
      <c r="BPC97" s="975" t="s">
        <v>819</v>
      </c>
      <c r="BPD97" s="975" t="s">
        <v>819</v>
      </c>
      <c r="BPE97" s="975" t="s">
        <v>819</v>
      </c>
      <c r="BPF97" s="975" t="s">
        <v>819</v>
      </c>
      <c r="BPG97" s="975" t="s">
        <v>819</v>
      </c>
      <c r="BPH97" s="975" t="s">
        <v>819</v>
      </c>
      <c r="BPI97" s="975" t="s">
        <v>819</v>
      </c>
      <c r="BPJ97" s="975" t="s">
        <v>819</v>
      </c>
      <c r="BPK97" s="975" t="s">
        <v>819</v>
      </c>
      <c r="BPL97" s="975" t="s">
        <v>819</v>
      </c>
      <c r="BPM97" s="975" t="s">
        <v>819</v>
      </c>
      <c r="BPN97" s="975" t="s">
        <v>819</v>
      </c>
      <c r="BPO97" s="975" t="s">
        <v>819</v>
      </c>
      <c r="BPP97" s="975" t="s">
        <v>819</v>
      </c>
      <c r="BPQ97" s="975" t="s">
        <v>819</v>
      </c>
      <c r="BPR97" s="975" t="s">
        <v>819</v>
      </c>
      <c r="BPS97" s="975" t="s">
        <v>819</v>
      </c>
      <c r="BPT97" s="975" t="s">
        <v>819</v>
      </c>
      <c r="BPU97" s="975" t="s">
        <v>819</v>
      </c>
      <c r="BPV97" s="975" t="s">
        <v>819</v>
      </c>
      <c r="BPW97" s="975" t="s">
        <v>819</v>
      </c>
      <c r="BPX97" s="975" t="s">
        <v>819</v>
      </c>
      <c r="BPY97" s="975" t="s">
        <v>819</v>
      </c>
      <c r="BPZ97" s="975" t="s">
        <v>819</v>
      </c>
      <c r="BQA97" s="975" t="s">
        <v>819</v>
      </c>
      <c r="BQB97" s="975" t="s">
        <v>819</v>
      </c>
      <c r="BQC97" s="975" t="s">
        <v>819</v>
      </c>
      <c r="BQD97" s="975" t="s">
        <v>819</v>
      </c>
      <c r="BQE97" s="975" t="s">
        <v>819</v>
      </c>
      <c r="BQF97" s="975" t="s">
        <v>819</v>
      </c>
      <c r="BQG97" s="975" t="s">
        <v>819</v>
      </c>
      <c r="BQH97" s="975" t="s">
        <v>819</v>
      </c>
      <c r="BQI97" s="975" t="s">
        <v>819</v>
      </c>
      <c r="BQJ97" s="975" t="s">
        <v>819</v>
      </c>
      <c r="BQK97" s="975" t="s">
        <v>819</v>
      </c>
      <c r="BQL97" s="975" t="s">
        <v>819</v>
      </c>
      <c r="BQM97" s="975" t="s">
        <v>819</v>
      </c>
      <c r="BQN97" s="975" t="s">
        <v>819</v>
      </c>
      <c r="BQO97" s="975" t="s">
        <v>819</v>
      </c>
      <c r="BQP97" s="975" t="s">
        <v>819</v>
      </c>
      <c r="BQQ97" s="975" t="s">
        <v>819</v>
      </c>
      <c r="BQR97" s="975" t="s">
        <v>819</v>
      </c>
      <c r="BQS97" s="975" t="s">
        <v>819</v>
      </c>
      <c r="BQT97" s="975" t="s">
        <v>819</v>
      </c>
      <c r="BQU97" s="975" t="s">
        <v>819</v>
      </c>
      <c r="BQV97" s="975" t="s">
        <v>819</v>
      </c>
      <c r="BQW97" s="975" t="s">
        <v>819</v>
      </c>
      <c r="BQX97" s="975" t="s">
        <v>819</v>
      </c>
      <c r="BQY97" s="975" t="s">
        <v>819</v>
      </c>
      <c r="BQZ97" s="975" t="s">
        <v>819</v>
      </c>
      <c r="BRA97" s="975" t="s">
        <v>819</v>
      </c>
      <c r="BRB97" s="975" t="s">
        <v>819</v>
      </c>
      <c r="BRC97" s="975" t="s">
        <v>819</v>
      </c>
      <c r="BRD97" s="975" t="s">
        <v>819</v>
      </c>
      <c r="BRE97" s="975" t="s">
        <v>819</v>
      </c>
      <c r="BRF97" s="975" t="s">
        <v>819</v>
      </c>
      <c r="BRG97" s="975" t="s">
        <v>819</v>
      </c>
      <c r="BRH97" s="975" t="s">
        <v>819</v>
      </c>
      <c r="BRI97" s="975" t="s">
        <v>819</v>
      </c>
      <c r="BRJ97" s="975" t="s">
        <v>819</v>
      </c>
      <c r="BRK97" s="975" t="s">
        <v>819</v>
      </c>
      <c r="BRL97" s="975" t="s">
        <v>819</v>
      </c>
      <c r="BRM97" s="975" t="s">
        <v>819</v>
      </c>
      <c r="BRN97" s="975" t="s">
        <v>819</v>
      </c>
      <c r="BRO97" s="975" t="s">
        <v>819</v>
      </c>
      <c r="BRP97" s="975" t="s">
        <v>819</v>
      </c>
      <c r="BRQ97" s="975" t="s">
        <v>819</v>
      </c>
      <c r="BRR97" s="975" t="s">
        <v>819</v>
      </c>
      <c r="BRS97" s="975" t="s">
        <v>819</v>
      </c>
      <c r="BRT97" s="975" t="s">
        <v>819</v>
      </c>
      <c r="BRU97" s="975" t="s">
        <v>819</v>
      </c>
      <c r="BRV97" s="975" t="s">
        <v>819</v>
      </c>
      <c r="BRW97" s="975" t="s">
        <v>819</v>
      </c>
      <c r="BRX97" s="975" t="s">
        <v>819</v>
      </c>
      <c r="BRY97" s="975" t="s">
        <v>819</v>
      </c>
      <c r="BRZ97" s="975" t="s">
        <v>819</v>
      </c>
      <c r="BSA97" s="975" t="s">
        <v>819</v>
      </c>
      <c r="BSB97" s="975" t="s">
        <v>819</v>
      </c>
      <c r="BSC97" s="975" t="s">
        <v>819</v>
      </c>
      <c r="BSD97" s="975" t="s">
        <v>819</v>
      </c>
      <c r="BSE97" s="975" t="s">
        <v>819</v>
      </c>
      <c r="BSF97" s="975" t="s">
        <v>819</v>
      </c>
      <c r="BSG97" s="975" t="s">
        <v>819</v>
      </c>
      <c r="BSH97" s="975" t="s">
        <v>819</v>
      </c>
      <c r="BSI97" s="975" t="s">
        <v>819</v>
      </c>
      <c r="BSJ97" s="975" t="s">
        <v>819</v>
      </c>
      <c r="BSK97" s="975" t="s">
        <v>819</v>
      </c>
      <c r="BSL97" s="975" t="s">
        <v>819</v>
      </c>
      <c r="BSM97" s="975" t="s">
        <v>819</v>
      </c>
      <c r="BSN97" s="975" t="s">
        <v>819</v>
      </c>
      <c r="BSO97" s="975" t="s">
        <v>819</v>
      </c>
      <c r="BSP97" s="975" t="s">
        <v>819</v>
      </c>
      <c r="BSQ97" s="975" t="s">
        <v>819</v>
      </c>
      <c r="BSR97" s="975" t="s">
        <v>819</v>
      </c>
      <c r="BSS97" s="975" t="s">
        <v>819</v>
      </c>
      <c r="BST97" s="975" t="s">
        <v>819</v>
      </c>
      <c r="BSU97" s="975" t="s">
        <v>819</v>
      </c>
      <c r="BSV97" s="975" t="s">
        <v>819</v>
      </c>
      <c r="BSW97" s="975" t="s">
        <v>819</v>
      </c>
      <c r="BSX97" s="975" t="s">
        <v>819</v>
      </c>
      <c r="BSY97" s="975" t="s">
        <v>819</v>
      </c>
      <c r="BSZ97" s="975" t="s">
        <v>819</v>
      </c>
      <c r="BTA97" s="975" t="s">
        <v>819</v>
      </c>
      <c r="BTB97" s="975" t="s">
        <v>819</v>
      </c>
      <c r="BTC97" s="975" t="s">
        <v>819</v>
      </c>
      <c r="BTD97" s="975" t="s">
        <v>819</v>
      </c>
      <c r="BTE97" s="975" t="s">
        <v>819</v>
      </c>
      <c r="BTF97" s="975" t="s">
        <v>819</v>
      </c>
      <c r="BTG97" s="975" t="s">
        <v>819</v>
      </c>
      <c r="BTH97" s="975" t="s">
        <v>819</v>
      </c>
      <c r="BTI97" s="975" t="s">
        <v>819</v>
      </c>
      <c r="BTJ97" s="975" t="s">
        <v>819</v>
      </c>
      <c r="BTK97" s="975" t="s">
        <v>819</v>
      </c>
      <c r="BTL97" s="975" t="s">
        <v>819</v>
      </c>
      <c r="BTM97" s="975" t="s">
        <v>819</v>
      </c>
      <c r="BTN97" s="975" t="s">
        <v>819</v>
      </c>
      <c r="BTO97" s="975" t="s">
        <v>819</v>
      </c>
      <c r="BTP97" s="975" t="s">
        <v>819</v>
      </c>
      <c r="BTQ97" s="975" t="s">
        <v>819</v>
      </c>
      <c r="BTR97" s="975" t="s">
        <v>819</v>
      </c>
      <c r="BTS97" s="975" t="s">
        <v>819</v>
      </c>
      <c r="BTT97" s="975" t="s">
        <v>819</v>
      </c>
      <c r="BTU97" s="975" t="s">
        <v>819</v>
      </c>
      <c r="BTV97" s="975" t="s">
        <v>819</v>
      </c>
      <c r="BTW97" s="975" t="s">
        <v>819</v>
      </c>
      <c r="BTX97" s="975" t="s">
        <v>819</v>
      </c>
      <c r="BTY97" s="975" t="s">
        <v>819</v>
      </c>
      <c r="BTZ97" s="975" t="s">
        <v>819</v>
      </c>
      <c r="BUA97" s="975" t="s">
        <v>819</v>
      </c>
      <c r="BUB97" s="975" t="s">
        <v>819</v>
      </c>
      <c r="BUC97" s="975" t="s">
        <v>819</v>
      </c>
      <c r="BUD97" s="975" t="s">
        <v>819</v>
      </c>
      <c r="BUE97" s="975" t="s">
        <v>819</v>
      </c>
      <c r="BUF97" s="975" t="s">
        <v>819</v>
      </c>
      <c r="BUG97" s="975" t="s">
        <v>819</v>
      </c>
      <c r="BUH97" s="975" t="s">
        <v>819</v>
      </c>
      <c r="BUI97" s="975" t="s">
        <v>819</v>
      </c>
      <c r="BUJ97" s="975" t="s">
        <v>819</v>
      </c>
      <c r="BUK97" s="975" t="s">
        <v>819</v>
      </c>
      <c r="BUL97" s="975" t="s">
        <v>819</v>
      </c>
      <c r="BUM97" s="975" t="s">
        <v>819</v>
      </c>
      <c r="BUN97" s="975" t="s">
        <v>819</v>
      </c>
      <c r="BUO97" s="975" t="s">
        <v>819</v>
      </c>
      <c r="BUP97" s="975" t="s">
        <v>819</v>
      </c>
      <c r="BUQ97" s="975" t="s">
        <v>819</v>
      </c>
      <c r="BUR97" s="975" t="s">
        <v>819</v>
      </c>
      <c r="BUS97" s="975" t="s">
        <v>819</v>
      </c>
      <c r="BUT97" s="975" t="s">
        <v>819</v>
      </c>
      <c r="BUU97" s="975" t="s">
        <v>819</v>
      </c>
      <c r="BUV97" s="975" t="s">
        <v>819</v>
      </c>
      <c r="BUW97" s="975" t="s">
        <v>819</v>
      </c>
      <c r="BUX97" s="975" t="s">
        <v>819</v>
      </c>
      <c r="BUY97" s="975" t="s">
        <v>819</v>
      </c>
      <c r="BUZ97" s="975" t="s">
        <v>819</v>
      </c>
      <c r="BVA97" s="975" t="s">
        <v>819</v>
      </c>
      <c r="BVB97" s="975" t="s">
        <v>819</v>
      </c>
      <c r="BVC97" s="975" t="s">
        <v>819</v>
      </c>
      <c r="BVD97" s="975" t="s">
        <v>819</v>
      </c>
      <c r="BVE97" s="975" t="s">
        <v>819</v>
      </c>
      <c r="BVF97" s="975" t="s">
        <v>819</v>
      </c>
      <c r="BVG97" s="975" t="s">
        <v>819</v>
      </c>
      <c r="BVH97" s="975" t="s">
        <v>819</v>
      </c>
      <c r="BVI97" s="975" t="s">
        <v>819</v>
      </c>
      <c r="BVJ97" s="975" t="s">
        <v>819</v>
      </c>
      <c r="BVK97" s="975" t="s">
        <v>819</v>
      </c>
      <c r="BVL97" s="975" t="s">
        <v>819</v>
      </c>
      <c r="BVM97" s="975" t="s">
        <v>819</v>
      </c>
      <c r="BVN97" s="975" t="s">
        <v>819</v>
      </c>
      <c r="BVO97" s="975" t="s">
        <v>819</v>
      </c>
      <c r="BVP97" s="975" t="s">
        <v>819</v>
      </c>
      <c r="BVQ97" s="975" t="s">
        <v>819</v>
      </c>
      <c r="BVR97" s="975" t="s">
        <v>819</v>
      </c>
      <c r="BVS97" s="975" t="s">
        <v>819</v>
      </c>
      <c r="BVT97" s="975" t="s">
        <v>819</v>
      </c>
      <c r="BVU97" s="975" t="s">
        <v>819</v>
      </c>
      <c r="BVV97" s="975" t="s">
        <v>819</v>
      </c>
      <c r="BVW97" s="975" t="s">
        <v>819</v>
      </c>
      <c r="BVX97" s="975" t="s">
        <v>819</v>
      </c>
      <c r="BVY97" s="975" t="s">
        <v>819</v>
      </c>
      <c r="BVZ97" s="975" t="s">
        <v>819</v>
      </c>
      <c r="BWA97" s="975" t="s">
        <v>819</v>
      </c>
      <c r="BWB97" s="975" t="s">
        <v>819</v>
      </c>
      <c r="BWC97" s="975" t="s">
        <v>819</v>
      </c>
      <c r="BWD97" s="975" t="s">
        <v>819</v>
      </c>
      <c r="BWE97" s="975" t="s">
        <v>819</v>
      </c>
      <c r="BWF97" s="975" t="s">
        <v>819</v>
      </c>
      <c r="BWG97" s="975" t="s">
        <v>819</v>
      </c>
      <c r="BWH97" s="975" t="s">
        <v>819</v>
      </c>
      <c r="BWI97" s="975" t="s">
        <v>819</v>
      </c>
      <c r="BWJ97" s="975" t="s">
        <v>819</v>
      </c>
      <c r="BWK97" s="975" t="s">
        <v>819</v>
      </c>
      <c r="BWL97" s="975" t="s">
        <v>819</v>
      </c>
      <c r="BWM97" s="975" t="s">
        <v>819</v>
      </c>
      <c r="BWN97" s="975" t="s">
        <v>819</v>
      </c>
      <c r="BWO97" s="975" t="s">
        <v>819</v>
      </c>
      <c r="BWP97" s="975" t="s">
        <v>819</v>
      </c>
      <c r="BWQ97" s="975" t="s">
        <v>819</v>
      </c>
      <c r="BWR97" s="975" t="s">
        <v>819</v>
      </c>
      <c r="BWS97" s="975" t="s">
        <v>819</v>
      </c>
      <c r="BWT97" s="975" t="s">
        <v>819</v>
      </c>
      <c r="BWU97" s="975" t="s">
        <v>819</v>
      </c>
      <c r="BWV97" s="975" t="s">
        <v>819</v>
      </c>
      <c r="BWW97" s="975" t="s">
        <v>819</v>
      </c>
      <c r="BWX97" s="975" t="s">
        <v>819</v>
      </c>
      <c r="BWY97" s="975" t="s">
        <v>819</v>
      </c>
      <c r="BWZ97" s="975" t="s">
        <v>819</v>
      </c>
      <c r="BXA97" s="975" t="s">
        <v>819</v>
      </c>
      <c r="BXB97" s="975" t="s">
        <v>819</v>
      </c>
      <c r="BXC97" s="975" t="s">
        <v>819</v>
      </c>
      <c r="BXD97" s="975" t="s">
        <v>819</v>
      </c>
      <c r="BXE97" s="975" t="s">
        <v>819</v>
      </c>
      <c r="BXF97" s="975" t="s">
        <v>819</v>
      </c>
      <c r="BXG97" s="975" t="s">
        <v>819</v>
      </c>
      <c r="BXH97" s="975" t="s">
        <v>819</v>
      </c>
      <c r="BXI97" s="975" t="s">
        <v>819</v>
      </c>
      <c r="BXJ97" s="975" t="s">
        <v>819</v>
      </c>
      <c r="BXK97" s="975" t="s">
        <v>819</v>
      </c>
      <c r="BXL97" s="975" t="s">
        <v>819</v>
      </c>
      <c r="BXM97" s="975" t="s">
        <v>819</v>
      </c>
      <c r="BXN97" s="975" t="s">
        <v>819</v>
      </c>
      <c r="BXO97" s="975" t="s">
        <v>819</v>
      </c>
      <c r="BXP97" s="975" t="s">
        <v>819</v>
      </c>
      <c r="BXQ97" s="975" t="s">
        <v>819</v>
      </c>
      <c r="BXR97" s="975" t="s">
        <v>819</v>
      </c>
      <c r="BXS97" s="975" t="s">
        <v>819</v>
      </c>
      <c r="BXT97" s="975" t="s">
        <v>819</v>
      </c>
      <c r="BXU97" s="975" t="s">
        <v>819</v>
      </c>
      <c r="BXV97" s="975" t="s">
        <v>819</v>
      </c>
      <c r="BXW97" s="975" t="s">
        <v>819</v>
      </c>
      <c r="BXX97" s="975" t="s">
        <v>819</v>
      </c>
      <c r="BXY97" s="975" t="s">
        <v>819</v>
      </c>
      <c r="BXZ97" s="975" t="s">
        <v>819</v>
      </c>
      <c r="BYA97" s="975" t="s">
        <v>819</v>
      </c>
      <c r="BYB97" s="975" t="s">
        <v>819</v>
      </c>
      <c r="BYC97" s="975" t="s">
        <v>819</v>
      </c>
      <c r="BYD97" s="975" t="s">
        <v>819</v>
      </c>
      <c r="BYE97" s="975" t="s">
        <v>819</v>
      </c>
      <c r="BYF97" s="975" t="s">
        <v>819</v>
      </c>
      <c r="BYG97" s="975" t="s">
        <v>819</v>
      </c>
      <c r="BYH97" s="975" t="s">
        <v>819</v>
      </c>
      <c r="BYI97" s="975" t="s">
        <v>819</v>
      </c>
      <c r="BYJ97" s="975" t="s">
        <v>819</v>
      </c>
      <c r="BYK97" s="975" t="s">
        <v>819</v>
      </c>
      <c r="BYL97" s="975" t="s">
        <v>819</v>
      </c>
      <c r="BYM97" s="975" t="s">
        <v>819</v>
      </c>
      <c r="BYN97" s="975" t="s">
        <v>819</v>
      </c>
      <c r="BYO97" s="975" t="s">
        <v>819</v>
      </c>
      <c r="BYP97" s="975" t="s">
        <v>819</v>
      </c>
      <c r="BYQ97" s="975" t="s">
        <v>819</v>
      </c>
      <c r="BYR97" s="975" t="s">
        <v>819</v>
      </c>
      <c r="BYS97" s="975" t="s">
        <v>819</v>
      </c>
      <c r="BYT97" s="975" t="s">
        <v>819</v>
      </c>
      <c r="BYU97" s="975" t="s">
        <v>819</v>
      </c>
      <c r="BYV97" s="975" t="s">
        <v>819</v>
      </c>
      <c r="BYW97" s="975" t="s">
        <v>819</v>
      </c>
      <c r="BYX97" s="975" t="s">
        <v>819</v>
      </c>
      <c r="BYY97" s="975" t="s">
        <v>819</v>
      </c>
      <c r="BYZ97" s="975" t="s">
        <v>819</v>
      </c>
      <c r="BZA97" s="975" t="s">
        <v>819</v>
      </c>
      <c r="BZB97" s="975" t="s">
        <v>819</v>
      </c>
      <c r="BZC97" s="975" t="s">
        <v>819</v>
      </c>
      <c r="BZD97" s="975" t="s">
        <v>819</v>
      </c>
      <c r="BZE97" s="975" t="s">
        <v>819</v>
      </c>
      <c r="BZF97" s="975" t="s">
        <v>819</v>
      </c>
      <c r="BZG97" s="975" t="s">
        <v>819</v>
      </c>
      <c r="BZH97" s="975" t="s">
        <v>819</v>
      </c>
      <c r="BZI97" s="975" t="s">
        <v>819</v>
      </c>
      <c r="BZJ97" s="975" t="s">
        <v>819</v>
      </c>
      <c r="BZK97" s="975" t="s">
        <v>819</v>
      </c>
      <c r="BZL97" s="975" t="s">
        <v>819</v>
      </c>
      <c r="BZM97" s="975" t="s">
        <v>819</v>
      </c>
      <c r="BZN97" s="975" t="s">
        <v>819</v>
      </c>
      <c r="BZO97" s="975" t="s">
        <v>819</v>
      </c>
      <c r="BZP97" s="975" t="s">
        <v>819</v>
      </c>
      <c r="BZQ97" s="975" t="s">
        <v>819</v>
      </c>
      <c r="BZR97" s="975" t="s">
        <v>819</v>
      </c>
      <c r="BZS97" s="975" t="s">
        <v>819</v>
      </c>
      <c r="BZT97" s="975" t="s">
        <v>819</v>
      </c>
      <c r="BZU97" s="975" t="s">
        <v>819</v>
      </c>
      <c r="BZV97" s="975" t="s">
        <v>819</v>
      </c>
      <c r="BZW97" s="975" t="s">
        <v>819</v>
      </c>
      <c r="BZX97" s="975" t="s">
        <v>819</v>
      </c>
      <c r="BZY97" s="975" t="s">
        <v>819</v>
      </c>
      <c r="BZZ97" s="975" t="s">
        <v>819</v>
      </c>
      <c r="CAA97" s="975" t="s">
        <v>819</v>
      </c>
      <c r="CAB97" s="975" t="s">
        <v>819</v>
      </c>
      <c r="CAC97" s="975" t="s">
        <v>819</v>
      </c>
      <c r="CAD97" s="975" t="s">
        <v>819</v>
      </c>
      <c r="CAE97" s="975" t="s">
        <v>819</v>
      </c>
      <c r="CAF97" s="975" t="s">
        <v>819</v>
      </c>
      <c r="CAG97" s="975" t="s">
        <v>819</v>
      </c>
      <c r="CAH97" s="975" t="s">
        <v>819</v>
      </c>
      <c r="CAI97" s="975" t="s">
        <v>819</v>
      </c>
      <c r="CAJ97" s="975" t="s">
        <v>819</v>
      </c>
      <c r="CAK97" s="975" t="s">
        <v>819</v>
      </c>
      <c r="CAL97" s="975" t="s">
        <v>819</v>
      </c>
      <c r="CAM97" s="975" t="s">
        <v>819</v>
      </c>
      <c r="CAN97" s="975" t="s">
        <v>819</v>
      </c>
      <c r="CAO97" s="975" t="s">
        <v>819</v>
      </c>
      <c r="CAP97" s="975" t="s">
        <v>819</v>
      </c>
      <c r="CAQ97" s="975" t="s">
        <v>819</v>
      </c>
      <c r="CAR97" s="975" t="s">
        <v>819</v>
      </c>
      <c r="CAS97" s="975" t="s">
        <v>819</v>
      </c>
      <c r="CAT97" s="975" t="s">
        <v>819</v>
      </c>
      <c r="CAU97" s="975" t="s">
        <v>819</v>
      </c>
      <c r="CAV97" s="975" t="s">
        <v>819</v>
      </c>
      <c r="CAW97" s="975" t="s">
        <v>819</v>
      </c>
      <c r="CAX97" s="975" t="s">
        <v>819</v>
      </c>
      <c r="CAY97" s="975" t="s">
        <v>819</v>
      </c>
      <c r="CAZ97" s="975" t="s">
        <v>819</v>
      </c>
      <c r="CBA97" s="975" t="s">
        <v>819</v>
      </c>
      <c r="CBB97" s="975" t="s">
        <v>819</v>
      </c>
      <c r="CBC97" s="975" t="s">
        <v>819</v>
      </c>
      <c r="CBD97" s="975" t="s">
        <v>819</v>
      </c>
      <c r="CBE97" s="975" t="s">
        <v>819</v>
      </c>
      <c r="CBF97" s="975" t="s">
        <v>819</v>
      </c>
      <c r="CBG97" s="975" t="s">
        <v>819</v>
      </c>
      <c r="CBH97" s="975" t="s">
        <v>819</v>
      </c>
      <c r="CBI97" s="975" t="s">
        <v>819</v>
      </c>
      <c r="CBJ97" s="975" t="s">
        <v>819</v>
      </c>
      <c r="CBK97" s="975" t="s">
        <v>819</v>
      </c>
      <c r="CBL97" s="975" t="s">
        <v>819</v>
      </c>
      <c r="CBM97" s="975" t="s">
        <v>819</v>
      </c>
      <c r="CBN97" s="975" t="s">
        <v>819</v>
      </c>
      <c r="CBO97" s="975" t="s">
        <v>819</v>
      </c>
      <c r="CBP97" s="975" t="s">
        <v>819</v>
      </c>
      <c r="CBQ97" s="975" t="s">
        <v>819</v>
      </c>
      <c r="CBR97" s="975" t="s">
        <v>819</v>
      </c>
      <c r="CBS97" s="975" t="s">
        <v>819</v>
      </c>
      <c r="CBT97" s="975" t="s">
        <v>819</v>
      </c>
      <c r="CBU97" s="975" t="s">
        <v>819</v>
      </c>
      <c r="CBV97" s="975" t="s">
        <v>819</v>
      </c>
      <c r="CBW97" s="975" t="s">
        <v>819</v>
      </c>
      <c r="CBX97" s="975" t="s">
        <v>819</v>
      </c>
      <c r="CBY97" s="975" t="s">
        <v>819</v>
      </c>
      <c r="CBZ97" s="975" t="s">
        <v>819</v>
      </c>
      <c r="CCA97" s="975" t="s">
        <v>819</v>
      </c>
      <c r="CCB97" s="975" t="s">
        <v>819</v>
      </c>
      <c r="CCC97" s="975" t="s">
        <v>819</v>
      </c>
      <c r="CCD97" s="975" t="s">
        <v>819</v>
      </c>
      <c r="CCE97" s="975" t="s">
        <v>819</v>
      </c>
      <c r="CCF97" s="975" t="s">
        <v>819</v>
      </c>
      <c r="CCG97" s="975" t="s">
        <v>819</v>
      </c>
      <c r="CCH97" s="975" t="s">
        <v>819</v>
      </c>
      <c r="CCI97" s="975" t="s">
        <v>819</v>
      </c>
      <c r="CCJ97" s="975" t="s">
        <v>819</v>
      </c>
      <c r="CCK97" s="975" t="s">
        <v>819</v>
      </c>
      <c r="CCL97" s="975" t="s">
        <v>819</v>
      </c>
      <c r="CCM97" s="975" t="s">
        <v>819</v>
      </c>
      <c r="CCN97" s="975" t="s">
        <v>819</v>
      </c>
      <c r="CCO97" s="975" t="s">
        <v>819</v>
      </c>
      <c r="CCP97" s="975" t="s">
        <v>819</v>
      </c>
      <c r="CCQ97" s="975" t="s">
        <v>819</v>
      </c>
      <c r="CCR97" s="975" t="s">
        <v>819</v>
      </c>
      <c r="CCS97" s="975" t="s">
        <v>819</v>
      </c>
      <c r="CCT97" s="975" t="s">
        <v>819</v>
      </c>
      <c r="CCU97" s="975" t="s">
        <v>819</v>
      </c>
      <c r="CCV97" s="975" t="s">
        <v>819</v>
      </c>
      <c r="CCW97" s="975" t="s">
        <v>819</v>
      </c>
      <c r="CCX97" s="975" t="s">
        <v>819</v>
      </c>
      <c r="CCY97" s="975" t="s">
        <v>819</v>
      </c>
      <c r="CCZ97" s="975" t="s">
        <v>819</v>
      </c>
      <c r="CDA97" s="975" t="s">
        <v>819</v>
      </c>
      <c r="CDB97" s="975" t="s">
        <v>819</v>
      </c>
      <c r="CDC97" s="975" t="s">
        <v>819</v>
      </c>
      <c r="CDD97" s="975" t="s">
        <v>819</v>
      </c>
      <c r="CDE97" s="975" t="s">
        <v>819</v>
      </c>
      <c r="CDF97" s="975" t="s">
        <v>819</v>
      </c>
      <c r="CDG97" s="975" t="s">
        <v>819</v>
      </c>
      <c r="CDH97" s="975" t="s">
        <v>819</v>
      </c>
      <c r="CDI97" s="975" t="s">
        <v>819</v>
      </c>
      <c r="CDJ97" s="975" t="s">
        <v>819</v>
      </c>
      <c r="CDK97" s="975" t="s">
        <v>819</v>
      </c>
      <c r="CDL97" s="975" t="s">
        <v>819</v>
      </c>
      <c r="CDM97" s="975" t="s">
        <v>819</v>
      </c>
      <c r="CDN97" s="975" t="s">
        <v>819</v>
      </c>
      <c r="CDO97" s="975" t="s">
        <v>819</v>
      </c>
      <c r="CDP97" s="975" t="s">
        <v>819</v>
      </c>
      <c r="CDQ97" s="975" t="s">
        <v>819</v>
      </c>
      <c r="CDR97" s="975" t="s">
        <v>819</v>
      </c>
      <c r="CDS97" s="975" t="s">
        <v>819</v>
      </c>
      <c r="CDT97" s="975" t="s">
        <v>819</v>
      </c>
      <c r="CDU97" s="975" t="s">
        <v>819</v>
      </c>
      <c r="CDV97" s="975" t="s">
        <v>819</v>
      </c>
      <c r="CDW97" s="975" t="s">
        <v>819</v>
      </c>
      <c r="CDX97" s="975" t="s">
        <v>819</v>
      </c>
      <c r="CDY97" s="975" t="s">
        <v>819</v>
      </c>
      <c r="CDZ97" s="975" t="s">
        <v>819</v>
      </c>
      <c r="CEA97" s="975" t="s">
        <v>819</v>
      </c>
      <c r="CEB97" s="975" t="s">
        <v>819</v>
      </c>
      <c r="CEC97" s="975" t="s">
        <v>819</v>
      </c>
      <c r="CED97" s="975" t="s">
        <v>819</v>
      </c>
      <c r="CEE97" s="975" t="s">
        <v>819</v>
      </c>
      <c r="CEF97" s="975" t="s">
        <v>819</v>
      </c>
      <c r="CEG97" s="975" t="s">
        <v>819</v>
      </c>
      <c r="CEH97" s="975" t="s">
        <v>819</v>
      </c>
      <c r="CEI97" s="975" t="s">
        <v>819</v>
      </c>
      <c r="CEJ97" s="975" t="s">
        <v>819</v>
      </c>
      <c r="CEK97" s="975" t="s">
        <v>819</v>
      </c>
      <c r="CEL97" s="975" t="s">
        <v>819</v>
      </c>
      <c r="CEM97" s="975" t="s">
        <v>819</v>
      </c>
      <c r="CEN97" s="975" t="s">
        <v>819</v>
      </c>
      <c r="CEO97" s="975" t="s">
        <v>819</v>
      </c>
      <c r="CEP97" s="975" t="s">
        <v>819</v>
      </c>
      <c r="CEQ97" s="975" t="s">
        <v>819</v>
      </c>
      <c r="CER97" s="975" t="s">
        <v>819</v>
      </c>
      <c r="CES97" s="975" t="s">
        <v>819</v>
      </c>
      <c r="CET97" s="975" t="s">
        <v>819</v>
      </c>
      <c r="CEU97" s="975" t="s">
        <v>819</v>
      </c>
      <c r="CEV97" s="975" t="s">
        <v>819</v>
      </c>
      <c r="CEW97" s="975" t="s">
        <v>819</v>
      </c>
      <c r="CEX97" s="975" t="s">
        <v>819</v>
      </c>
      <c r="CEY97" s="975" t="s">
        <v>819</v>
      </c>
      <c r="CEZ97" s="975" t="s">
        <v>819</v>
      </c>
      <c r="CFA97" s="975" t="s">
        <v>819</v>
      </c>
      <c r="CFB97" s="975" t="s">
        <v>819</v>
      </c>
      <c r="CFC97" s="975" t="s">
        <v>819</v>
      </c>
      <c r="CFD97" s="975" t="s">
        <v>819</v>
      </c>
      <c r="CFE97" s="975" t="s">
        <v>819</v>
      </c>
      <c r="CFF97" s="975" t="s">
        <v>819</v>
      </c>
      <c r="CFG97" s="975" t="s">
        <v>819</v>
      </c>
      <c r="CFH97" s="975" t="s">
        <v>819</v>
      </c>
      <c r="CFI97" s="975" t="s">
        <v>819</v>
      </c>
      <c r="CFJ97" s="975" t="s">
        <v>819</v>
      </c>
      <c r="CFK97" s="975" t="s">
        <v>819</v>
      </c>
      <c r="CFL97" s="975" t="s">
        <v>819</v>
      </c>
      <c r="CFM97" s="975" t="s">
        <v>819</v>
      </c>
      <c r="CFN97" s="975" t="s">
        <v>819</v>
      </c>
      <c r="CFO97" s="975" t="s">
        <v>819</v>
      </c>
      <c r="CFP97" s="975" t="s">
        <v>819</v>
      </c>
      <c r="CFQ97" s="975" t="s">
        <v>819</v>
      </c>
      <c r="CFR97" s="975" t="s">
        <v>819</v>
      </c>
      <c r="CFS97" s="975" t="s">
        <v>819</v>
      </c>
      <c r="CFT97" s="975" t="s">
        <v>819</v>
      </c>
      <c r="CFU97" s="975" t="s">
        <v>819</v>
      </c>
      <c r="CFV97" s="975" t="s">
        <v>819</v>
      </c>
      <c r="CFW97" s="975" t="s">
        <v>819</v>
      </c>
      <c r="CFX97" s="975" t="s">
        <v>819</v>
      </c>
      <c r="CFY97" s="975" t="s">
        <v>819</v>
      </c>
      <c r="CFZ97" s="975" t="s">
        <v>819</v>
      </c>
      <c r="CGA97" s="975" t="s">
        <v>819</v>
      </c>
      <c r="CGB97" s="975" t="s">
        <v>819</v>
      </c>
      <c r="CGC97" s="975" t="s">
        <v>819</v>
      </c>
      <c r="CGD97" s="975" t="s">
        <v>819</v>
      </c>
      <c r="CGE97" s="975" t="s">
        <v>819</v>
      </c>
      <c r="CGF97" s="975" t="s">
        <v>819</v>
      </c>
      <c r="CGG97" s="975" t="s">
        <v>819</v>
      </c>
      <c r="CGH97" s="975" t="s">
        <v>819</v>
      </c>
      <c r="CGI97" s="975" t="s">
        <v>819</v>
      </c>
      <c r="CGJ97" s="975" t="s">
        <v>819</v>
      </c>
      <c r="CGK97" s="975" t="s">
        <v>819</v>
      </c>
      <c r="CGL97" s="975" t="s">
        <v>819</v>
      </c>
      <c r="CGM97" s="975" t="s">
        <v>819</v>
      </c>
      <c r="CGN97" s="975" t="s">
        <v>819</v>
      </c>
      <c r="CGO97" s="975" t="s">
        <v>819</v>
      </c>
      <c r="CGP97" s="975" t="s">
        <v>819</v>
      </c>
      <c r="CGQ97" s="975" t="s">
        <v>819</v>
      </c>
      <c r="CGR97" s="975" t="s">
        <v>819</v>
      </c>
      <c r="CGS97" s="975" t="s">
        <v>819</v>
      </c>
      <c r="CGT97" s="975" t="s">
        <v>819</v>
      </c>
      <c r="CGU97" s="975" t="s">
        <v>819</v>
      </c>
      <c r="CGV97" s="975" t="s">
        <v>819</v>
      </c>
      <c r="CGW97" s="975" t="s">
        <v>819</v>
      </c>
      <c r="CGX97" s="975" t="s">
        <v>819</v>
      </c>
      <c r="CGY97" s="975" t="s">
        <v>819</v>
      </c>
      <c r="CGZ97" s="975" t="s">
        <v>819</v>
      </c>
      <c r="CHA97" s="975" t="s">
        <v>819</v>
      </c>
      <c r="CHB97" s="975" t="s">
        <v>819</v>
      </c>
      <c r="CHC97" s="975" t="s">
        <v>819</v>
      </c>
      <c r="CHD97" s="975" t="s">
        <v>819</v>
      </c>
      <c r="CHE97" s="975" t="s">
        <v>819</v>
      </c>
      <c r="CHF97" s="975" t="s">
        <v>819</v>
      </c>
      <c r="CHG97" s="975" t="s">
        <v>819</v>
      </c>
      <c r="CHH97" s="975" t="s">
        <v>819</v>
      </c>
      <c r="CHI97" s="975" t="s">
        <v>819</v>
      </c>
      <c r="CHJ97" s="975" t="s">
        <v>819</v>
      </c>
      <c r="CHK97" s="975" t="s">
        <v>819</v>
      </c>
      <c r="CHL97" s="975" t="s">
        <v>819</v>
      </c>
      <c r="CHM97" s="975" t="s">
        <v>819</v>
      </c>
      <c r="CHN97" s="975" t="s">
        <v>819</v>
      </c>
      <c r="CHO97" s="975" t="s">
        <v>819</v>
      </c>
      <c r="CHP97" s="975" t="s">
        <v>819</v>
      </c>
      <c r="CHQ97" s="975" t="s">
        <v>819</v>
      </c>
      <c r="CHR97" s="975" t="s">
        <v>819</v>
      </c>
      <c r="CHS97" s="975" t="s">
        <v>819</v>
      </c>
      <c r="CHT97" s="975" t="s">
        <v>819</v>
      </c>
      <c r="CHU97" s="975" t="s">
        <v>819</v>
      </c>
      <c r="CHV97" s="975" t="s">
        <v>819</v>
      </c>
      <c r="CHW97" s="975" t="s">
        <v>819</v>
      </c>
      <c r="CHX97" s="975" t="s">
        <v>819</v>
      </c>
      <c r="CHY97" s="975" t="s">
        <v>819</v>
      </c>
      <c r="CHZ97" s="975" t="s">
        <v>819</v>
      </c>
      <c r="CIA97" s="975" t="s">
        <v>819</v>
      </c>
      <c r="CIB97" s="975" t="s">
        <v>819</v>
      </c>
      <c r="CIC97" s="975" t="s">
        <v>819</v>
      </c>
      <c r="CID97" s="975" t="s">
        <v>819</v>
      </c>
      <c r="CIE97" s="975" t="s">
        <v>819</v>
      </c>
      <c r="CIF97" s="975" t="s">
        <v>819</v>
      </c>
      <c r="CIG97" s="975" t="s">
        <v>819</v>
      </c>
      <c r="CIH97" s="975" t="s">
        <v>819</v>
      </c>
      <c r="CII97" s="975" t="s">
        <v>819</v>
      </c>
      <c r="CIJ97" s="975" t="s">
        <v>819</v>
      </c>
      <c r="CIK97" s="975" t="s">
        <v>819</v>
      </c>
      <c r="CIL97" s="975" t="s">
        <v>819</v>
      </c>
      <c r="CIM97" s="975" t="s">
        <v>819</v>
      </c>
      <c r="CIN97" s="975" t="s">
        <v>819</v>
      </c>
      <c r="CIO97" s="975" t="s">
        <v>819</v>
      </c>
      <c r="CIP97" s="975" t="s">
        <v>819</v>
      </c>
      <c r="CIQ97" s="975" t="s">
        <v>819</v>
      </c>
      <c r="CIR97" s="975" t="s">
        <v>819</v>
      </c>
      <c r="CIS97" s="975" t="s">
        <v>819</v>
      </c>
      <c r="CIT97" s="975" t="s">
        <v>819</v>
      </c>
      <c r="CIU97" s="975" t="s">
        <v>819</v>
      </c>
      <c r="CIV97" s="975" t="s">
        <v>819</v>
      </c>
      <c r="CIW97" s="975" t="s">
        <v>819</v>
      </c>
      <c r="CIX97" s="975" t="s">
        <v>819</v>
      </c>
      <c r="CIY97" s="975" t="s">
        <v>819</v>
      </c>
      <c r="CIZ97" s="975" t="s">
        <v>819</v>
      </c>
      <c r="CJA97" s="975" t="s">
        <v>819</v>
      </c>
      <c r="CJB97" s="975" t="s">
        <v>819</v>
      </c>
      <c r="CJC97" s="975" t="s">
        <v>819</v>
      </c>
      <c r="CJD97" s="975" t="s">
        <v>819</v>
      </c>
      <c r="CJE97" s="975" t="s">
        <v>819</v>
      </c>
      <c r="CJF97" s="975" t="s">
        <v>819</v>
      </c>
      <c r="CJG97" s="975" t="s">
        <v>819</v>
      </c>
      <c r="CJH97" s="975" t="s">
        <v>819</v>
      </c>
      <c r="CJI97" s="975" t="s">
        <v>819</v>
      </c>
      <c r="CJJ97" s="975" t="s">
        <v>819</v>
      </c>
      <c r="CJK97" s="975" t="s">
        <v>819</v>
      </c>
      <c r="CJL97" s="975" t="s">
        <v>819</v>
      </c>
      <c r="CJM97" s="975" t="s">
        <v>819</v>
      </c>
      <c r="CJN97" s="975" t="s">
        <v>819</v>
      </c>
      <c r="CJO97" s="975" t="s">
        <v>819</v>
      </c>
      <c r="CJP97" s="975" t="s">
        <v>819</v>
      </c>
      <c r="CJQ97" s="975" t="s">
        <v>819</v>
      </c>
      <c r="CJR97" s="975" t="s">
        <v>819</v>
      </c>
      <c r="CJS97" s="975" t="s">
        <v>819</v>
      </c>
      <c r="CJT97" s="975" t="s">
        <v>819</v>
      </c>
      <c r="CJU97" s="975" t="s">
        <v>819</v>
      </c>
      <c r="CJV97" s="975" t="s">
        <v>819</v>
      </c>
      <c r="CJW97" s="975" t="s">
        <v>819</v>
      </c>
      <c r="CJX97" s="975" t="s">
        <v>819</v>
      </c>
      <c r="CJY97" s="975" t="s">
        <v>819</v>
      </c>
      <c r="CJZ97" s="975" t="s">
        <v>819</v>
      </c>
      <c r="CKA97" s="975" t="s">
        <v>819</v>
      </c>
      <c r="CKB97" s="975" t="s">
        <v>819</v>
      </c>
      <c r="CKC97" s="975" t="s">
        <v>819</v>
      </c>
      <c r="CKD97" s="975" t="s">
        <v>819</v>
      </c>
      <c r="CKE97" s="975" t="s">
        <v>819</v>
      </c>
      <c r="CKF97" s="975" t="s">
        <v>819</v>
      </c>
      <c r="CKG97" s="975" t="s">
        <v>819</v>
      </c>
      <c r="CKH97" s="975" t="s">
        <v>819</v>
      </c>
      <c r="CKI97" s="975" t="s">
        <v>819</v>
      </c>
      <c r="CKJ97" s="975" t="s">
        <v>819</v>
      </c>
      <c r="CKK97" s="975" t="s">
        <v>819</v>
      </c>
      <c r="CKL97" s="975" t="s">
        <v>819</v>
      </c>
      <c r="CKM97" s="975" t="s">
        <v>819</v>
      </c>
      <c r="CKN97" s="975" t="s">
        <v>819</v>
      </c>
      <c r="CKO97" s="975" t="s">
        <v>819</v>
      </c>
      <c r="CKP97" s="975" t="s">
        <v>819</v>
      </c>
      <c r="CKQ97" s="975" t="s">
        <v>819</v>
      </c>
      <c r="CKR97" s="975" t="s">
        <v>819</v>
      </c>
      <c r="CKS97" s="975" t="s">
        <v>819</v>
      </c>
      <c r="CKT97" s="975" t="s">
        <v>819</v>
      </c>
      <c r="CKU97" s="975" t="s">
        <v>819</v>
      </c>
      <c r="CKV97" s="975" t="s">
        <v>819</v>
      </c>
      <c r="CKW97" s="975" t="s">
        <v>819</v>
      </c>
      <c r="CKX97" s="975" t="s">
        <v>819</v>
      </c>
      <c r="CKY97" s="975" t="s">
        <v>819</v>
      </c>
      <c r="CKZ97" s="975" t="s">
        <v>819</v>
      </c>
      <c r="CLA97" s="975" t="s">
        <v>819</v>
      </c>
      <c r="CLB97" s="975" t="s">
        <v>819</v>
      </c>
      <c r="CLC97" s="975" t="s">
        <v>819</v>
      </c>
      <c r="CLD97" s="975" t="s">
        <v>819</v>
      </c>
      <c r="CLE97" s="975" t="s">
        <v>819</v>
      </c>
      <c r="CLF97" s="975" t="s">
        <v>819</v>
      </c>
      <c r="CLG97" s="975" t="s">
        <v>819</v>
      </c>
      <c r="CLH97" s="975" t="s">
        <v>819</v>
      </c>
      <c r="CLI97" s="975" t="s">
        <v>819</v>
      </c>
      <c r="CLJ97" s="975" t="s">
        <v>819</v>
      </c>
      <c r="CLK97" s="975" t="s">
        <v>819</v>
      </c>
      <c r="CLL97" s="975" t="s">
        <v>819</v>
      </c>
      <c r="CLM97" s="975" t="s">
        <v>819</v>
      </c>
      <c r="CLN97" s="975" t="s">
        <v>819</v>
      </c>
      <c r="CLO97" s="975" t="s">
        <v>819</v>
      </c>
      <c r="CLP97" s="975" t="s">
        <v>819</v>
      </c>
      <c r="CLQ97" s="975" t="s">
        <v>819</v>
      </c>
      <c r="CLR97" s="975" t="s">
        <v>819</v>
      </c>
      <c r="CLS97" s="975" t="s">
        <v>819</v>
      </c>
      <c r="CLT97" s="975" t="s">
        <v>819</v>
      </c>
      <c r="CLU97" s="975" t="s">
        <v>819</v>
      </c>
      <c r="CLV97" s="975" t="s">
        <v>819</v>
      </c>
      <c r="CLW97" s="975" t="s">
        <v>819</v>
      </c>
      <c r="CLX97" s="975" t="s">
        <v>819</v>
      </c>
      <c r="CLY97" s="975" t="s">
        <v>819</v>
      </c>
      <c r="CLZ97" s="975" t="s">
        <v>819</v>
      </c>
      <c r="CMA97" s="975" t="s">
        <v>819</v>
      </c>
      <c r="CMB97" s="975" t="s">
        <v>819</v>
      </c>
      <c r="CMC97" s="975" t="s">
        <v>819</v>
      </c>
      <c r="CMD97" s="975" t="s">
        <v>819</v>
      </c>
      <c r="CME97" s="975" t="s">
        <v>819</v>
      </c>
      <c r="CMF97" s="975" t="s">
        <v>819</v>
      </c>
      <c r="CMG97" s="975" t="s">
        <v>819</v>
      </c>
      <c r="CMH97" s="975" t="s">
        <v>819</v>
      </c>
      <c r="CMI97" s="975" t="s">
        <v>819</v>
      </c>
      <c r="CMJ97" s="975" t="s">
        <v>819</v>
      </c>
      <c r="CMK97" s="975" t="s">
        <v>819</v>
      </c>
      <c r="CML97" s="975" t="s">
        <v>819</v>
      </c>
      <c r="CMM97" s="975" t="s">
        <v>819</v>
      </c>
      <c r="CMN97" s="975" t="s">
        <v>819</v>
      </c>
      <c r="CMO97" s="975" t="s">
        <v>819</v>
      </c>
      <c r="CMP97" s="975" t="s">
        <v>819</v>
      </c>
      <c r="CMQ97" s="975" t="s">
        <v>819</v>
      </c>
      <c r="CMR97" s="975" t="s">
        <v>819</v>
      </c>
      <c r="CMS97" s="975" t="s">
        <v>819</v>
      </c>
      <c r="CMT97" s="975" t="s">
        <v>819</v>
      </c>
      <c r="CMU97" s="975" t="s">
        <v>819</v>
      </c>
      <c r="CMV97" s="975" t="s">
        <v>819</v>
      </c>
      <c r="CMW97" s="975" t="s">
        <v>819</v>
      </c>
      <c r="CMX97" s="975" t="s">
        <v>819</v>
      </c>
      <c r="CMY97" s="975" t="s">
        <v>819</v>
      </c>
      <c r="CMZ97" s="975" t="s">
        <v>819</v>
      </c>
      <c r="CNA97" s="975" t="s">
        <v>819</v>
      </c>
      <c r="CNB97" s="975" t="s">
        <v>819</v>
      </c>
      <c r="CNC97" s="975" t="s">
        <v>819</v>
      </c>
      <c r="CND97" s="975" t="s">
        <v>819</v>
      </c>
      <c r="CNE97" s="975" t="s">
        <v>819</v>
      </c>
      <c r="CNF97" s="975" t="s">
        <v>819</v>
      </c>
      <c r="CNG97" s="975" t="s">
        <v>819</v>
      </c>
      <c r="CNH97" s="975" t="s">
        <v>819</v>
      </c>
      <c r="CNI97" s="975" t="s">
        <v>819</v>
      </c>
      <c r="CNJ97" s="975" t="s">
        <v>819</v>
      </c>
      <c r="CNK97" s="975" t="s">
        <v>819</v>
      </c>
      <c r="CNL97" s="975" t="s">
        <v>819</v>
      </c>
      <c r="CNM97" s="975" t="s">
        <v>819</v>
      </c>
      <c r="CNN97" s="975" t="s">
        <v>819</v>
      </c>
      <c r="CNO97" s="975" t="s">
        <v>819</v>
      </c>
      <c r="CNP97" s="975" t="s">
        <v>819</v>
      </c>
      <c r="CNQ97" s="975" t="s">
        <v>819</v>
      </c>
      <c r="CNR97" s="975" t="s">
        <v>819</v>
      </c>
      <c r="CNS97" s="975" t="s">
        <v>819</v>
      </c>
      <c r="CNT97" s="975" t="s">
        <v>819</v>
      </c>
      <c r="CNU97" s="975" t="s">
        <v>819</v>
      </c>
      <c r="CNV97" s="975" t="s">
        <v>819</v>
      </c>
      <c r="CNW97" s="975" t="s">
        <v>819</v>
      </c>
      <c r="CNX97" s="975" t="s">
        <v>819</v>
      </c>
      <c r="CNY97" s="975" t="s">
        <v>819</v>
      </c>
      <c r="CNZ97" s="975" t="s">
        <v>819</v>
      </c>
      <c r="COA97" s="975" t="s">
        <v>819</v>
      </c>
      <c r="COB97" s="975" t="s">
        <v>819</v>
      </c>
      <c r="COC97" s="975" t="s">
        <v>819</v>
      </c>
      <c r="COD97" s="975" t="s">
        <v>819</v>
      </c>
      <c r="COE97" s="975" t="s">
        <v>819</v>
      </c>
      <c r="COF97" s="975" t="s">
        <v>819</v>
      </c>
      <c r="COG97" s="975" t="s">
        <v>819</v>
      </c>
      <c r="COH97" s="975" t="s">
        <v>819</v>
      </c>
      <c r="COI97" s="975" t="s">
        <v>819</v>
      </c>
      <c r="COJ97" s="975" t="s">
        <v>819</v>
      </c>
      <c r="COK97" s="975" t="s">
        <v>819</v>
      </c>
      <c r="COL97" s="975" t="s">
        <v>819</v>
      </c>
      <c r="COM97" s="975" t="s">
        <v>819</v>
      </c>
      <c r="CON97" s="975" t="s">
        <v>819</v>
      </c>
      <c r="COO97" s="975" t="s">
        <v>819</v>
      </c>
      <c r="COP97" s="975" t="s">
        <v>819</v>
      </c>
      <c r="COQ97" s="975" t="s">
        <v>819</v>
      </c>
      <c r="COR97" s="975" t="s">
        <v>819</v>
      </c>
      <c r="COS97" s="975" t="s">
        <v>819</v>
      </c>
      <c r="COT97" s="975" t="s">
        <v>819</v>
      </c>
      <c r="COU97" s="975" t="s">
        <v>819</v>
      </c>
      <c r="COV97" s="975" t="s">
        <v>819</v>
      </c>
      <c r="COW97" s="975" t="s">
        <v>819</v>
      </c>
      <c r="COX97" s="975" t="s">
        <v>819</v>
      </c>
      <c r="COY97" s="975" t="s">
        <v>819</v>
      </c>
      <c r="COZ97" s="975" t="s">
        <v>819</v>
      </c>
      <c r="CPA97" s="975" t="s">
        <v>819</v>
      </c>
      <c r="CPB97" s="975" t="s">
        <v>819</v>
      </c>
      <c r="CPC97" s="975" t="s">
        <v>819</v>
      </c>
      <c r="CPD97" s="975" t="s">
        <v>819</v>
      </c>
      <c r="CPE97" s="975" t="s">
        <v>819</v>
      </c>
      <c r="CPF97" s="975" t="s">
        <v>819</v>
      </c>
      <c r="CPG97" s="975" t="s">
        <v>819</v>
      </c>
      <c r="CPH97" s="975" t="s">
        <v>819</v>
      </c>
      <c r="CPI97" s="975" t="s">
        <v>819</v>
      </c>
      <c r="CPJ97" s="975" t="s">
        <v>819</v>
      </c>
      <c r="CPK97" s="975" t="s">
        <v>819</v>
      </c>
      <c r="CPL97" s="975" t="s">
        <v>819</v>
      </c>
      <c r="CPM97" s="975" t="s">
        <v>819</v>
      </c>
      <c r="CPN97" s="975" t="s">
        <v>819</v>
      </c>
      <c r="CPO97" s="975" t="s">
        <v>819</v>
      </c>
      <c r="CPP97" s="975" t="s">
        <v>819</v>
      </c>
      <c r="CPQ97" s="975" t="s">
        <v>819</v>
      </c>
      <c r="CPR97" s="975" t="s">
        <v>819</v>
      </c>
      <c r="CPS97" s="975" t="s">
        <v>819</v>
      </c>
      <c r="CPT97" s="975" t="s">
        <v>819</v>
      </c>
      <c r="CPU97" s="975" t="s">
        <v>819</v>
      </c>
      <c r="CPV97" s="975" t="s">
        <v>819</v>
      </c>
      <c r="CPW97" s="975" t="s">
        <v>819</v>
      </c>
      <c r="CPX97" s="975" t="s">
        <v>819</v>
      </c>
      <c r="CPY97" s="975" t="s">
        <v>819</v>
      </c>
      <c r="CPZ97" s="975" t="s">
        <v>819</v>
      </c>
      <c r="CQA97" s="975" t="s">
        <v>819</v>
      </c>
      <c r="CQB97" s="975" t="s">
        <v>819</v>
      </c>
      <c r="CQC97" s="975" t="s">
        <v>819</v>
      </c>
      <c r="CQD97" s="975" t="s">
        <v>819</v>
      </c>
      <c r="CQE97" s="975" t="s">
        <v>819</v>
      </c>
      <c r="CQF97" s="975" t="s">
        <v>819</v>
      </c>
      <c r="CQG97" s="975" t="s">
        <v>819</v>
      </c>
      <c r="CQH97" s="975" t="s">
        <v>819</v>
      </c>
      <c r="CQI97" s="975" t="s">
        <v>819</v>
      </c>
      <c r="CQJ97" s="975" t="s">
        <v>819</v>
      </c>
      <c r="CQK97" s="975" t="s">
        <v>819</v>
      </c>
      <c r="CQL97" s="975" t="s">
        <v>819</v>
      </c>
      <c r="CQM97" s="975" t="s">
        <v>819</v>
      </c>
      <c r="CQN97" s="975" t="s">
        <v>819</v>
      </c>
      <c r="CQO97" s="975" t="s">
        <v>819</v>
      </c>
      <c r="CQP97" s="975" t="s">
        <v>819</v>
      </c>
      <c r="CQQ97" s="975" t="s">
        <v>819</v>
      </c>
      <c r="CQR97" s="975" t="s">
        <v>819</v>
      </c>
      <c r="CQS97" s="975" t="s">
        <v>819</v>
      </c>
      <c r="CQT97" s="975" t="s">
        <v>819</v>
      </c>
      <c r="CQU97" s="975" t="s">
        <v>819</v>
      </c>
      <c r="CQV97" s="975" t="s">
        <v>819</v>
      </c>
      <c r="CQW97" s="975" t="s">
        <v>819</v>
      </c>
      <c r="CQX97" s="975" t="s">
        <v>819</v>
      </c>
      <c r="CQY97" s="975" t="s">
        <v>819</v>
      </c>
      <c r="CQZ97" s="975" t="s">
        <v>819</v>
      </c>
      <c r="CRA97" s="975" t="s">
        <v>819</v>
      </c>
      <c r="CRB97" s="975" t="s">
        <v>819</v>
      </c>
      <c r="CRC97" s="975" t="s">
        <v>819</v>
      </c>
      <c r="CRD97" s="975" t="s">
        <v>819</v>
      </c>
      <c r="CRE97" s="975" t="s">
        <v>819</v>
      </c>
      <c r="CRF97" s="975" t="s">
        <v>819</v>
      </c>
      <c r="CRG97" s="975" t="s">
        <v>819</v>
      </c>
      <c r="CRH97" s="975" t="s">
        <v>819</v>
      </c>
      <c r="CRI97" s="975" t="s">
        <v>819</v>
      </c>
      <c r="CRJ97" s="975" t="s">
        <v>819</v>
      </c>
      <c r="CRK97" s="975" t="s">
        <v>819</v>
      </c>
      <c r="CRL97" s="975" t="s">
        <v>819</v>
      </c>
      <c r="CRM97" s="975" t="s">
        <v>819</v>
      </c>
      <c r="CRN97" s="975" t="s">
        <v>819</v>
      </c>
      <c r="CRO97" s="975" t="s">
        <v>819</v>
      </c>
      <c r="CRP97" s="975" t="s">
        <v>819</v>
      </c>
      <c r="CRQ97" s="975" t="s">
        <v>819</v>
      </c>
      <c r="CRR97" s="975" t="s">
        <v>819</v>
      </c>
      <c r="CRS97" s="975" t="s">
        <v>819</v>
      </c>
      <c r="CRT97" s="975" t="s">
        <v>819</v>
      </c>
      <c r="CRU97" s="975" t="s">
        <v>819</v>
      </c>
      <c r="CRV97" s="975" t="s">
        <v>819</v>
      </c>
      <c r="CRW97" s="975" t="s">
        <v>819</v>
      </c>
      <c r="CRX97" s="975" t="s">
        <v>819</v>
      </c>
      <c r="CRY97" s="975" t="s">
        <v>819</v>
      </c>
      <c r="CRZ97" s="975" t="s">
        <v>819</v>
      </c>
      <c r="CSA97" s="975" t="s">
        <v>819</v>
      </c>
      <c r="CSB97" s="975" t="s">
        <v>819</v>
      </c>
      <c r="CSC97" s="975" t="s">
        <v>819</v>
      </c>
      <c r="CSD97" s="975" t="s">
        <v>819</v>
      </c>
      <c r="CSE97" s="975" t="s">
        <v>819</v>
      </c>
      <c r="CSF97" s="975" t="s">
        <v>819</v>
      </c>
      <c r="CSG97" s="975" t="s">
        <v>819</v>
      </c>
      <c r="CSH97" s="975" t="s">
        <v>819</v>
      </c>
      <c r="CSI97" s="975" t="s">
        <v>819</v>
      </c>
      <c r="CSJ97" s="975" t="s">
        <v>819</v>
      </c>
      <c r="CSK97" s="975" t="s">
        <v>819</v>
      </c>
      <c r="CSL97" s="975" t="s">
        <v>819</v>
      </c>
      <c r="CSM97" s="975" t="s">
        <v>819</v>
      </c>
      <c r="CSN97" s="975" t="s">
        <v>819</v>
      </c>
      <c r="CSO97" s="975" t="s">
        <v>819</v>
      </c>
      <c r="CSP97" s="975" t="s">
        <v>819</v>
      </c>
      <c r="CSQ97" s="975" t="s">
        <v>819</v>
      </c>
      <c r="CSR97" s="975" t="s">
        <v>819</v>
      </c>
      <c r="CSS97" s="975" t="s">
        <v>819</v>
      </c>
      <c r="CST97" s="975" t="s">
        <v>819</v>
      </c>
      <c r="CSU97" s="975" t="s">
        <v>819</v>
      </c>
      <c r="CSV97" s="975" t="s">
        <v>819</v>
      </c>
      <c r="CSW97" s="975" t="s">
        <v>819</v>
      </c>
      <c r="CSX97" s="975" t="s">
        <v>819</v>
      </c>
      <c r="CSY97" s="975" t="s">
        <v>819</v>
      </c>
      <c r="CSZ97" s="975" t="s">
        <v>819</v>
      </c>
      <c r="CTA97" s="975" t="s">
        <v>819</v>
      </c>
      <c r="CTB97" s="975" t="s">
        <v>819</v>
      </c>
      <c r="CTC97" s="975" t="s">
        <v>819</v>
      </c>
      <c r="CTD97" s="975" t="s">
        <v>819</v>
      </c>
      <c r="CTE97" s="975" t="s">
        <v>819</v>
      </c>
      <c r="CTF97" s="975" t="s">
        <v>819</v>
      </c>
      <c r="CTG97" s="975" t="s">
        <v>819</v>
      </c>
      <c r="CTH97" s="975" t="s">
        <v>819</v>
      </c>
      <c r="CTI97" s="975" t="s">
        <v>819</v>
      </c>
      <c r="CTJ97" s="975" t="s">
        <v>819</v>
      </c>
      <c r="CTK97" s="975" t="s">
        <v>819</v>
      </c>
      <c r="CTL97" s="975" t="s">
        <v>819</v>
      </c>
      <c r="CTM97" s="975" t="s">
        <v>819</v>
      </c>
      <c r="CTN97" s="975" t="s">
        <v>819</v>
      </c>
      <c r="CTO97" s="975" t="s">
        <v>819</v>
      </c>
      <c r="CTP97" s="975" t="s">
        <v>819</v>
      </c>
      <c r="CTQ97" s="975" t="s">
        <v>819</v>
      </c>
      <c r="CTR97" s="975" t="s">
        <v>819</v>
      </c>
      <c r="CTS97" s="975" t="s">
        <v>819</v>
      </c>
      <c r="CTT97" s="975" t="s">
        <v>819</v>
      </c>
      <c r="CTU97" s="975" t="s">
        <v>819</v>
      </c>
      <c r="CTV97" s="975" t="s">
        <v>819</v>
      </c>
      <c r="CTW97" s="975" t="s">
        <v>819</v>
      </c>
      <c r="CTX97" s="975" t="s">
        <v>819</v>
      </c>
      <c r="CTY97" s="975" t="s">
        <v>819</v>
      </c>
      <c r="CTZ97" s="975" t="s">
        <v>819</v>
      </c>
      <c r="CUA97" s="975" t="s">
        <v>819</v>
      </c>
      <c r="CUB97" s="975" t="s">
        <v>819</v>
      </c>
      <c r="CUC97" s="975" t="s">
        <v>819</v>
      </c>
      <c r="CUD97" s="975" t="s">
        <v>819</v>
      </c>
      <c r="CUE97" s="975" t="s">
        <v>819</v>
      </c>
      <c r="CUF97" s="975" t="s">
        <v>819</v>
      </c>
      <c r="CUG97" s="975" t="s">
        <v>819</v>
      </c>
      <c r="CUH97" s="975" t="s">
        <v>819</v>
      </c>
      <c r="CUI97" s="975" t="s">
        <v>819</v>
      </c>
      <c r="CUJ97" s="975" t="s">
        <v>819</v>
      </c>
      <c r="CUK97" s="975" t="s">
        <v>819</v>
      </c>
      <c r="CUL97" s="975" t="s">
        <v>819</v>
      </c>
      <c r="CUM97" s="975" t="s">
        <v>819</v>
      </c>
      <c r="CUN97" s="975" t="s">
        <v>819</v>
      </c>
      <c r="CUO97" s="975" t="s">
        <v>819</v>
      </c>
      <c r="CUP97" s="975" t="s">
        <v>819</v>
      </c>
      <c r="CUQ97" s="975" t="s">
        <v>819</v>
      </c>
      <c r="CUR97" s="975" t="s">
        <v>819</v>
      </c>
      <c r="CUS97" s="975" t="s">
        <v>819</v>
      </c>
      <c r="CUT97" s="975" t="s">
        <v>819</v>
      </c>
      <c r="CUU97" s="975" t="s">
        <v>819</v>
      </c>
      <c r="CUV97" s="975" t="s">
        <v>819</v>
      </c>
      <c r="CUW97" s="975" t="s">
        <v>819</v>
      </c>
      <c r="CUX97" s="975" t="s">
        <v>819</v>
      </c>
      <c r="CUY97" s="975" t="s">
        <v>819</v>
      </c>
      <c r="CUZ97" s="975" t="s">
        <v>819</v>
      </c>
      <c r="CVA97" s="975" t="s">
        <v>819</v>
      </c>
      <c r="CVB97" s="975" t="s">
        <v>819</v>
      </c>
      <c r="CVC97" s="975" t="s">
        <v>819</v>
      </c>
      <c r="CVD97" s="975" t="s">
        <v>819</v>
      </c>
      <c r="CVE97" s="975" t="s">
        <v>819</v>
      </c>
      <c r="CVF97" s="975" t="s">
        <v>819</v>
      </c>
      <c r="CVG97" s="975" t="s">
        <v>819</v>
      </c>
      <c r="CVH97" s="975" t="s">
        <v>819</v>
      </c>
      <c r="CVI97" s="975" t="s">
        <v>819</v>
      </c>
      <c r="CVJ97" s="975" t="s">
        <v>819</v>
      </c>
      <c r="CVK97" s="975" t="s">
        <v>819</v>
      </c>
      <c r="CVL97" s="975" t="s">
        <v>819</v>
      </c>
      <c r="CVM97" s="975" t="s">
        <v>819</v>
      </c>
      <c r="CVN97" s="975" t="s">
        <v>819</v>
      </c>
      <c r="CVO97" s="975" t="s">
        <v>819</v>
      </c>
      <c r="CVP97" s="975" t="s">
        <v>819</v>
      </c>
      <c r="CVQ97" s="975" t="s">
        <v>819</v>
      </c>
      <c r="CVR97" s="975" t="s">
        <v>819</v>
      </c>
      <c r="CVS97" s="975" t="s">
        <v>819</v>
      </c>
      <c r="CVT97" s="975" t="s">
        <v>819</v>
      </c>
      <c r="CVU97" s="975" t="s">
        <v>819</v>
      </c>
      <c r="CVV97" s="975" t="s">
        <v>819</v>
      </c>
      <c r="CVW97" s="975" t="s">
        <v>819</v>
      </c>
      <c r="CVX97" s="975" t="s">
        <v>819</v>
      </c>
      <c r="CVY97" s="975" t="s">
        <v>819</v>
      </c>
      <c r="CVZ97" s="975" t="s">
        <v>819</v>
      </c>
      <c r="CWA97" s="975" t="s">
        <v>819</v>
      </c>
      <c r="CWB97" s="975" t="s">
        <v>819</v>
      </c>
      <c r="CWC97" s="975" t="s">
        <v>819</v>
      </c>
      <c r="CWD97" s="975" t="s">
        <v>819</v>
      </c>
      <c r="CWE97" s="975" t="s">
        <v>819</v>
      </c>
      <c r="CWF97" s="975" t="s">
        <v>819</v>
      </c>
      <c r="CWG97" s="975" t="s">
        <v>819</v>
      </c>
      <c r="CWH97" s="975" t="s">
        <v>819</v>
      </c>
      <c r="CWI97" s="975" t="s">
        <v>819</v>
      </c>
      <c r="CWJ97" s="975" t="s">
        <v>819</v>
      </c>
      <c r="CWK97" s="975" t="s">
        <v>819</v>
      </c>
      <c r="CWL97" s="975" t="s">
        <v>819</v>
      </c>
      <c r="CWM97" s="975" t="s">
        <v>819</v>
      </c>
      <c r="CWN97" s="975" t="s">
        <v>819</v>
      </c>
      <c r="CWO97" s="975" t="s">
        <v>819</v>
      </c>
      <c r="CWP97" s="975" t="s">
        <v>819</v>
      </c>
      <c r="CWQ97" s="975" t="s">
        <v>819</v>
      </c>
      <c r="CWR97" s="975" t="s">
        <v>819</v>
      </c>
      <c r="CWS97" s="975" t="s">
        <v>819</v>
      </c>
      <c r="CWT97" s="975" t="s">
        <v>819</v>
      </c>
      <c r="CWU97" s="975" t="s">
        <v>819</v>
      </c>
      <c r="CWV97" s="975" t="s">
        <v>819</v>
      </c>
      <c r="CWW97" s="975" t="s">
        <v>819</v>
      </c>
      <c r="CWX97" s="975" t="s">
        <v>819</v>
      </c>
      <c r="CWY97" s="975" t="s">
        <v>819</v>
      </c>
      <c r="CWZ97" s="975" t="s">
        <v>819</v>
      </c>
      <c r="CXA97" s="975" t="s">
        <v>819</v>
      </c>
      <c r="CXB97" s="975" t="s">
        <v>819</v>
      </c>
      <c r="CXC97" s="975" t="s">
        <v>819</v>
      </c>
      <c r="CXD97" s="975" t="s">
        <v>819</v>
      </c>
      <c r="CXE97" s="975" t="s">
        <v>819</v>
      </c>
      <c r="CXF97" s="975" t="s">
        <v>819</v>
      </c>
      <c r="CXG97" s="975" t="s">
        <v>819</v>
      </c>
      <c r="CXH97" s="975" t="s">
        <v>819</v>
      </c>
      <c r="CXI97" s="975" t="s">
        <v>819</v>
      </c>
      <c r="CXJ97" s="975" t="s">
        <v>819</v>
      </c>
      <c r="CXK97" s="975" t="s">
        <v>819</v>
      </c>
      <c r="CXL97" s="975" t="s">
        <v>819</v>
      </c>
      <c r="CXM97" s="975" t="s">
        <v>819</v>
      </c>
      <c r="CXN97" s="975" t="s">
        <v>819</v>
      </c>
      <c r="CXO97" s="975" t="s">
        <v>819</v>
      </c>
      <c r="CXP97" s="975" t="s">
        <v>819</v>
      </c>
      <c r="CXQ97" s="975" t="s">
        <v>819</v>
      </c>
      <c r="CXR97" s="975" t="s">
        <v>819</v>
      </c>
      <c r="CXS97" s="975" t="s">
        <v>819</v>
      </c>
      <c r="CXT97" s="975" t="s">
        <v>819</v>
      </c>
      <c r="CXU97" s="975" t="s">
        <v>819</v>
      </c>
      <c r="CXV97" s="975" t="s">
        <v>819</v>
      </c>
      <c r="CXW97" s="975" t="s">
        <v>819</v>
      </c>
      <c r="CXX97" s="975" t="s">
        <v>819</v>
      </c>
      <c r="CXY97" s="975" t="s">
        <v>819</v>
      </c>
      <c r="CXZ97" s="975" t="s">
        <v>819</v>
      </c>
      <c r="CYA97" s="975" t="s">
        <v>819</v>
      </c>
      <c r="CYB97" s="975" t="s">
        <v>819</v>
      </c>
      <c r="CYC97" s="975" t="s">
        <v>819</v>
      </c>
      <c r="CYD97" s="975" t="s">
        <v>819</v>
      </c>
      <c r="CYE97" s="975" t="s">
        <v>819</v>
      </c>
      <c r="CYF97" s="975" t="s">
        <v>819</v>
      </c>
      <c r="CYG97" s="975" t="s">
        <v>819</v>
      </c>
      <c r="CYH97" s="975" t="s">
        <v>819</v>
      </c>
      <c r="CYI97" s="975" t="s">
        <v>819</v>
      </c>
      <c r="CYJ97" s="975" t="s">
        <v>819</v>
      </c>
      <c r="CYK97" s="975" t="s">
        <v>819</v>
      </c>
      <c r="CYL97" s="975" t="s">
        <v>819</v>
      </c>
      <c r="CYM97" s="975" t="s">
        <v>819</v>
      </c>
      <c r="CYN97" s="975" t="s">
        <v>819</v>
      </c>
      <c r="CYO97" s="975" t="s">
        <v>819</v>
      </c>
      <c r="CYP97" s="975" t="s">
        <v>819</v>
      </c>
      <c r="CYQ97" s="975" t="s">
        <v>819</v>
      </c>
      <c r="CYR97" s="975" t="s">
        <v>819</v>
      </c>
      <c r="CYS97" s="975" t="s">
        <v>819</v>
      </c>
      <c r="CYT97" s="975" t="s">
        <v>819</v>
      </c>
      <c r="CYU97" s="975" t="s">
        <v>819</v>
      </c>
      <c r="CYV97" s="975" t="s">
        <v>819</v>
      </c>
      <c r="CYW97" s="975" t="s">
        <v>819</v>
      </c>
      <c r="CYX97" s="975" t="s">
        <v>819</v>
      </c>
      <c r="CYY97" s="975" t="s">
        <v>819</v>
      </c>
      <c r="CYZ97" s="975" t="s">
        <v>819</v>
      </c>
      <c r="CZA97" s="975" t="s">
        <v>819</v>
      </c>
      <c r="CZB97" s="975" t="s">
        <v>819</v>
      </c>
      <c r="CZC97" s="975" t="s">
        <v>819</v>
      </c>
      <c r="CZD97" s="975" t="s">
        <v>819</v>
      </c>
      <c r="CZE97" s="975" t="s">
        <v>819</v>
      </c>
      <c r="CZF97" s="975" t="s">
        <v>819</v>
      </c>
      <c r="CZG97" s="975" t="s">
        <v>819</v>
      </c>
      <c r="CZH97" s="975" t="s">
        <v>819</v>
      </c>
      <c r="CZI97" s="975" t="s">
        <v>819</v>
      </c>
      <c r="CZJ97" s="975" t="s">
        <v>819</v>
      </c>
      <c r="CZK97" s="975" t="s">
        <v>819</v>
      </c>
      <c r="CZL97" s="975" t="s">
        <v>819</v>
      </c>
      <c r="CZM97" s="975" t="s">
        <v>819</v>
      </c>
      <c r="CZN97" s="975" t="s">
        <v>819</v>
      </c>
      <c r="CZO97" s="975" t="s">
        <v>819</v>
      </c>
      <c r="CZP97" s="975" t="s">
        <v>819</v>
      </c>
      <c r="CZQ97" s="975" t="s">
        <v>819</v>
      </c>
      <c r="CZR97" s="975" t="s">
        <v>819</v>
      </c>
      <c r="CZS97" s="975" t="s">
        <v>819</v>
      </c>
      <c r="CZT97" s="975" t="s">
        <v>819</v>
      </c>
      <c r="CZU97" s="975" t="s">
        <v>819</v>
      </c>
      <c r="CZV97" s="975" t="s">
        <v>819</v>
      </c>
      <c r="CZW97" s="975" t="s">
        <v>819</v>
      </c>
      <c r="CZX97" s="975" t="s">
        <v>819</v>
      </c>
      <c r="CZY97" s="975" t="s">
        <v>819</v>
      </c>
      <c r="CZZ97" s="975" t="s">
        <v>819</v>
      </c>
      <c r="DAA97" s="975" t="s">
        <v>819</v>
      </c>
      <c r="DAB97" s="975" t="s">
        <v>819</v>
      </c>
      <c r="DAC97" s="975" t="s">
        <v>819</v>
      </c>
      <c r="DAD97" s="975" t="s">
        <v>819</v>
      </c>
      <c r="DAE97" s="975" t="s">
        <v>819</v>
      </c>
      <c r="DAF97" s="975" t="s">
        <v>819</v>
      </c>
      <c r="DAG97" s="975" t="s">
        <v>819</v>
      </c>
      <c r="DAH97" s="975" t="s">
        <v>819</v>
      </c>
      <c r="DAI97" s="975" t="s">
        <v>819</v>
      </c>
      <c r="DAJ97" s="975" t="s">
        <v>819</v>
      </c>
      <c r="DAK97" s="975" t="s">
        <v>819</v>
      </c>
      <c r="DAL97" s="975" t="s">
        <v>819</v>
      </c>
      <c r="DAM97" s="975" t="s">
        <v>819</v>
      </c>
      <c r="DAN97" s="975" t="s">
        <v>819</v>
      </c>
      <c r="DAO97" s="975" t="s">
        <v>819</v>
      </c>
      <c r="DAP97" s="975" t="s">
        <v>819</v>
      </c>
      <c r="DAQ97" s="975" t="s">
        <v>819</v>
      </c>
      <c r="DAR97" s="975" t="s">
        <v>819</v>
      </c>
      <c r="DAS97" s="975" t="s">
        <v>819</v>
      </c>
      <c r="DAT97" s="975" t="s">
        <v>819</v>
      </c>
      <c r="DAU97" s="975" t="s">
        <v>819</v>
      </c>
      <c r="DAV97" s="975" t="s">
        <v>819</v>
      </c>
      <c r="DAW97" s="975" t="s">
        <v>819</v>
      </c>
      <c r="DAX97" s="975" t="s">
        <v>819</v>
      </c>
      <c r="DAY97" s="975" t="s">
        <v>819</v>
      </c>
      <c r="DAZ97" s="975" t="s">
        <v>819</v>
      </c>
      <c r="DBA97" s="975" t="s">
        <v>819</v>
      </c>
      <c r="DBB97" s="975" t="s">
        <v>819</v>
      </c>
      <c r="DBC97" s="975" t="s">
        <v>819</v>
      </c>
      <c r="DBD97" s="975" t="s">
        <v>819</v>
      </c>
      <c r="DBE97" s="975" t="s">
        <v>819</v>
      </c>
      <c r="DBF97" s="975" t="s">
        <v>819</v>
      </c>
      <c r="DBG97" s="975" t="s">
        <v>819</v>
      </c>
      <c r="DBH97" s="975" t="s">
        <v>819</v>
      </c>
      <c r="DBI97" s="975" t="s">
        <v>819</v>
      </c>
      <c r="DBJ97" s="975" t="s">
        <v>819</v>
      </c>
      <c r="DBK97" s="975" t="s">
        <v>819</v>
      </c>
      <c r="DBL97" s="975" t="s">
        <v>819</v>
      </c>
      <c r="DBM97" s="975" t="s">
        <v>819</v>
      </c>
      <c r="DBN97" s="975" t="s">
        <v>819</v>
      </c>
      <c r="DBO97" s="975" t="s">
        <v>819</v>
      </c>
      <c r="DBP97" s="975" t="s">
        <v>819</v>
      </c>
      <c r="DBQ97" s="975" t="s">
        <v>819</v>
      </c>
      <c r="DBR97" s="975" t="s">
        <v>819</v>
      </c>
      <c r="DBS97" s="975" t="s">
        <v>819</v>
      </c>
      <c r="DBT97" s="975" t="s">
        <v>819</v>
      </c>
      <c r="DBU97" s="975" t="s">
        <v>819</v>
      </c>
      <c r="DBV97" s="975" t="s">
        <v>819</v>
      </c>
      <c r="DBW97" s="975" t="s">
        <v>819</v>
      </c>
      <c r="DBX97" s="975" t="s">
        <v>819</v>
      </c>
      <c r="DBY97" s="975" t="s">
        <v>819</v>
      </c>
      <c r="DBZ97" s="975" t="s">
        <v>819</v>
      </c>
      <c r="DCA97" s="975" t="s">
        <v>819</v>
      </c>
      <c r="DCB97" s="975" t="s">
        <v>819</v>
      </c>
      <c r="DCC97" s="975" t="s">
        <v>819</v>
      </c>
      <c r="DCD97" s="975" t="s">
        <v>819</v>
      </c>
      <c r="DCE97" s="975" t="s">
        <v>819</v>
      </c>
      <c r="DCF97" s="975" t="s">
        <v>819</v>
      </c>
      <c r="DCG97" s="975" t="s">
        <v>819</v>
      </c>
      <c r="DCH97" s="975" t="s">
        <v>819</v>
      </c>
      <c r="DCI97" s="975" t="s">
        <v>819</v>
      </c>
      <c r="DCJ97" s="975" t="s">
        <v>819</v>
      </c>
      <c r="DCK97" s="975" t="s">
        <v>819</v>
      </c>
      <c r="DCL97" s="975" t="s">
        <v>819</v>
      </c>
      <c r="DCM97" s="975" t="s">
        <v>819</v>
      </c>
      <c r="DCN97" s="975" t="s">
        <v>819</v>
      </c>
      <c r="DCO97" s="975" t="s">
        <v>819</v>
      </c>
      <c r="DCP97" s="975" t="s">
        <v>819</v>
      </c>
      <c r="DCQ97" s="975" t="s">
        <v>819</v>
      </c>
      <c r="DCR97" s="975" t="s">
        <v>819</v>
      </c>
      <c r="DCS97" s="975" t="s">
        <v>819</v>
      </c>
      <c r="DCT97" s="975" t="s">
        <v>819</v>
      </c>
      <c r="DCU97" s="975" t="s">
        <v>819</v>
      </c>
      <c r="DCV97" s="975" t="s">
        <v>819</v>
      </c>
      <c r="DCW97" s="975" t="s">
        <v>819</v>
      </c>
      <c r="DCX97" s="975" t="s">
        <v>819</v>
      </c>
      <c r="DCY97" s="975" t="s">
        <v>819</v>
      </c>
      <c r="DCZ97" s="975" t="s">
        <v>819</v>
      </c>
      <c r="DDA97" s="975" t="s">
        <v>819</v>
      </c>
      <c r="DDB97" s="975" t="s">
        <v>819</v>
      </c>
      <c r="DDC97" s="975" t="s">
        <v>819</v>
      </c>
      <c r="DDD97" s="975" t="s">
        <v>819</v>
      </c>
      <c r="DDE97" s="975" t="s">
        <v>819</v>
      </c>
      <c r="DDF97" s="975" t="s">
        <v>819</v>
      </c>
      <c r="DDG97" s="975" t="s">
        <v>819</v>
      </c>
      <c r="DDH97" s="975" t="s">
        <v>819</v>
      </c>
      <c r="DDI97" s="975" t="s">
        <v>819</v>
      </c>
      <c r="DDJ97" s="975" t="s">
        <v>819</v>
      </c>
      <c r="DDK97" s="975" t="s">
        <v>819</v>
      </c>
      <c r="DDL97" s="975" t="s">
        <v>819</v>
      </c>
      <c r="DDM97" s="975" t="s">
        <v>819</v>
      </c>
      <c r="DDN97" s="975" t="s">
        <v>819</v>
      </c>
      <c r="DDO97" s="975" t="s">
        <v>819</v>
      </c>
      <c r="DDP97" s="975" t="s">
        <v>819</v>
      </c>
      <c r="DDQ97" s="975" t="s">
        <v>819</v>
      </c>
      <c r="DDR97" s="975" t="s">
        <v>819</v>
      </c>
      <c r="DDS97" s="975" t="s">
        <v>819</v>
      </c>
      <c r="DDT97" s="975" t="s">
        <v>819</v>
      </c>
      <c r="DDU97" s="975" t="s">
        <v>819</v>
      </c>
      <c r="DDV97" s="975" t="s">
        <v>819</v>
      </c>
      <c r="DDW97" s="975" t="s">
        <v>819</v>
      </c>
      <c r="DDX97" s="975" t="s">
        <v>819</v>
      </c>
      <c r="DDY97" s="975" t="s">
        <v>819</v>
      </c>
      <c r="DDZ97" s="975" t="s">
        <v>819</v>
      </c>
      <c r="DEA97" s="975" t="s">
        <v>819</v>
      </c>
      <c r="DEB97" s="975" t="s">
        <v>819</v>
      </c>
      <c r="DEC97" s="975" t="s">
        <v>819</v>
      </c>
      <c r="DED97" s="975" t="s">
        <v>819</v>
      </c>
      <c r="DEE97" s="975" t="s">
        <v>819</v>
      </c>
      <c r="DEF97" s="975" t="s">
        <v>819</v>
      </c>
      <c r="DEG97" s="975" t="s">
        <v>819</v>
      </c>
      <c r="DEH97" s="975" t="s">
        <v>819</v>
      </c>
      <c r="DEI97" s="975" t="s">
        <v>819</v>
      </c>
      <c r="DEJ97" s="975" t="s">
        <v>819</v>
      </c>
      <c r="DEK97" s="975" t="s">
        <v>819</v>
      </c>
      <c r="DEL97" s="975" t="s">
        <v>819</v>
      </c>
      <c r="DEM97" s="975" t="s">
        <v>819</v>
      </c>
      <c r="DEN97" s="975" t="s">
        <v>819</v>
      </c>
      <c r="DEO97" s="975" t="s">
        <v>819</v>
      </c>
      <c r="DEP97" s="975" t="s">
        <v>819</v>
      </c>
      <c r="DEQ97" s="975" t="s">
        <v>819</v>
      </c>
      <c r="DER97" s="975" t="s">
        <v>819</v>
      </c>
      <c r="DES97" s="975" t="s">
        <v>819</v>
      </c>
      <c r="DET97" s="975" t="s">
        <v>819</v>
      </c>
      <c r="DEU97" s="975" t="s">
        <v>819</v>
      </c>
      <c r="DEV97" s="975" t="s">
        <v>819</v>
      </c>
      <c r="DEW97" s="975" t="s">
        <v>819</v>
      </c>
      <c r="DEX97" s="975" t="s">
        <v>819</v>
      </c>
      <c r="DEY97" s="975" t="s">
        <v>819</v>
      </c>
      <c r="DEZ97" s="975" t="s">
        <v>819</v>
      </c>
      <c r="DFA97" s="975" t="s">
        <v>819</v>
      </c>
      <c r="DFB97" s="975" t="s">
        <v>819</v>
      </c>
      <c r="DFC97" s="975" t="s">
        <v>819</v>
      </c>
      <c r="DFD97" s="975" t="s">
        <v>819</v>
      </c>
      <c r="DFE97" s="975" t="s">
        <v>819</v>
      </c>
      <c r="DFF97" s="975" t="s">
        <v>819</v>
      </c>
      <c r="DFG97" s="975" t="s">
        <v>819</v>
      </c>
      <c r="DFH97" s="975" t="s">
        <v>819</v>
      </c>
      <c r="DFI97" s="975" t="s">
        <v>819</v>
      </c>
      <c r="DFJ97" s="975" t="s">
        <v>819</v>
      </c>
      <c r="DFK97" s="975" t="s">
        <v>819</v>
      </c>
      <c r="DFL97" s="975" t="s">
        <v>819</v>
      </c>
      <c r="DFM97" s="975" t="s">
        <v>819</v>
      </c>
      <c r="DFN97" s="975" t="s">
        <v>819</v>
      </c>
      <c r="DFO97" s="975" t="s">
        <v>819</v>
      </c>
      <c r="DFP97" s="975" t="s">
        <v>819</v>
      </c>
      <c r="DFQ97" s="975" t="s">
        <v>819</v>
      </c>
      <c r="DFR97" s="975" t="s">
        <v>819</v>
      </c>
      <c r="DFS97" s="975" t="s">
        <v>819</v>
      </c>
      <c r="DFT97" s="975" t="s">
        <v>819</v>
      </c>
      <c r="DFU97" s="975" t="s">
        <v>819</v>
      </c>
      <c r="DFV97" s="975" t="s">
        <v>819</v>
      </c>
      <c r="DFW97" s="975" t="s">
        <v>819</v>
      </c>
      <c r="DFX97" s="975" t="s">
        <v>819</v>
      </c>
      <c r="DFY97" s="975" t="s">
        <v>819</v>
      </c>
      <c r="DFZ97" s="975" t="s">
        <v>819</v>
      </c>
      <c r="DGA97" s="975" t="s">
        <v>819</v>
      </c>
      <c r="DGB97" s="975" t="s">
        <v>819</v>
      </c>
      <c r="DGC97" s="975" t="s">
        <v>819</v>
      </c>
      <c r="DGD97" s="975" t="s">
        <v>819</v>
      </c>
      <c r="DGE97" s="975" t="s">
        <v>819</v>
      </c>
      <c r="DGF97" s="975" t="s">
        <v>819</v>
      </c>
      <c r="DGG97" s="975" t="s">
        <v>819</v>
      </c>
      <c r="DGH97" s="975" t="s">
        <v>819</v>
      </c>
      <c r="DGI97" s="975" t="s">
        <v>819</v>
      </c>
      <c r="DGJ97" s="975" t="s">
        <v>819</v>
      </c>
      <c r="DGK97" s="975" t="s">
        <v>819</v>
      </c>
      <c r="DGL97" s="975" t="s">
        <v>819</v>
      </c>
      <c r="DGM97" s="975" t="s">
        <v>819</v>
      </c>
      <c r="DGN97" s="975" t="s">
        <v>819</v>
      </c>
      <c r="DGO97" s="975" t="s">
        <v>819</v>
      </c>
      <c r="DGP97" s="975" t="s">
        <v>819</v>
      </c>
      <c r="DGQ97" s="975" t="s">
        <v>819</v>
      </c>
      <c r="DGR97" s="975" t="s">
        <v>819</v>
      </c>
      <c r="DGS97" s="975" t="s">
        <v>819</v>
      </c>
      <c r="DGT97" s="975" t="s">
        <v>819</v>
      </c>
      <c r="DGU97" s="975" t="s">
        <v>819</v>
      </c>
      <c r="DGV97" s="975" t="s">
        <v>819</v>
      </c>
      <c r="DGW97" s="975" t="s">
        <v>819</v>
      </c>
      <c r="DGX97" s="975" t="s">
        <v>819</v>
      </c>
      <c r="DGY97" s="975" t="s">
        <v>819</v>
      </c>
      <c r="DGZ97" s="975" t="s">
        <v>819</v>
      </c>
      <c r="DHA97" s="975" t="s">
        <v>819</v>
      </c>
      <c r="DHB97" s="975" t="s">
        <v>819</v>
      </c>
      <c r="DHC97" s="975" t="s">
        <v>819</v>
      </c>
      <c r="DHD97" s="975" t="s">
        <v>819</v>
      </c>
      <c r="DHE97" s="975" t="s">
        <v>819</v>
      </c>
      <c r="DHF97" s="975" t="s">
        <v>819</v>
      </c>
      <c r="DHG97" s="975" t="s">
        <v>819</v>
      </c>
      <c r="DHH97" s="975" t="s">
        <v>819</v>
      </c>
      <c r="DHI97" s="975" t="s">
        <v>819</v>
      </c>
      <c r="DHJ97" s="975" t="s">
        <v>819</v>
      </c>
      <c r="DHK97" s="975" t="s">
        <v>819</v>
      </c>
      <c r="DHL97" s="975" t="s">
        <v>819</v>
      </c>
      <c r="DHM97" s="975" t="s">
        <v>819</v>
      </c>
      <c r="DHN97" s="975" t="s">
        <v>819</v>
      </c>
      <c r="DHO97" s="975" t="s">
        <v>819</v>
      </c>
      <c r="DHP97" s="975" t="s">
        <v>819</v>
      </c>
      <c r="DHQ97" s="975" t="s">
        <v>819</v>
      </c>
      <c r="DHR97" s="975" t="s">
        <v>819</v>
      </c>
      <c r="DHS97" s="975" t="s">
        <v>819</v>
      </c>
      <c r="DHT97" s="975" t="s">
        <v>819</v>
      </c>
      <c r="DHU97" s="975" t="s">
        <v>819</v>
      </c>
      <c r="DHV97" s="975" t="s">
        <v>819</v>
      </c>
      <c r="DHW97" s="975" t="s">
        <v>819</v>
      </c>
      <c r="DHX97" s="975" t="s">
        <v>819</v>
      </c>
      <c r="DHY97" s="975" t="s">
        <v>819</v>
      </c>
      <c r="DHZ97" s="975" t="s">
        <v>819</v>
      </c>
      <c r="DIA97" s="975" t="s">
        <v>819</v>
      </c>
      <c r="DIB97" s="975" t="s">
        <v>819</v>
      </c>
      <c r="DIC97" s="975" t="s">
        <v>819</v>
      </c>
      <c r="DID97" s="975" t="s">
        <v>819</v>
      </c>
      <c r="DIE97" s="975" t="s">
        <v>819</v>
      </c>
      <c r="DIF97" s="975" t="s">
        <v>819</v>
      </c>
      <c r="DIG97" s="975" t="s">
        <v>819</v>
      </c>
      <c r="DIH97" s="975" t="s">
        <v>819</v>
      </c>
      <c r="DII97" s="975" t="s">
        <v>819</v>
      </c>
      <c r="DIJ97" s="975" t="s">
        <v>819</v>
      </c>
      <c r="DIK97" s="975" t="s">
        <v>819</v>
      </c>
      <c r="DIL97" s="975" t="s">
        <v>819</v>
      </c>
      <c r="DIM97" s="975" t="s">
        <v>819</v>
      </c>
      <c r="DIN97" s="975" t="s">
        <v>819</v>
      </c>
      <c r="DIO97" s="975" t="s">
        <v>819</v>
      </c>
      <c r="DIP97" s="975" t="s">
        <v>819</v>
      </c>
      <c r="DIQ97" s="975" t="s">
        <v>819</v>
      </c>
      <c r="DIR97" s="975" t="s">
        <v>819</v>
      </c>
      <c r="DIS97" s="975" t="s">
        <v>819</v>
      </c>
      <c r="DIT97" s="975" t="s">
        <v>819</v>
      </c>
      <c r="DIU97" s="975" t="s">
        <v>819</v>
      </c>
      <c r="DIV97" s="975" t="s">
        <v>819</v>
      </c>
      <c r="DIW97" s="975" t="s">
        <v>819</v>
      </c>
      <c r="DIX97" s="975" t="s">
        <v>819</v>
      </c>
      <c r="DIY97" s="975" t="s">
        <v>819</v>
      </c>
      <c r="DIZ97" s="975" t="s">
        <v>819</v>
      </c>
      <c r="DJA97" s="975" t="s">
        <v>819</v>
      </c>
      <c r="DJB97" s="975" t="s">
        <v>819</v>
      </c>
      <c r="DJC97" s="975" t="s">
        <v>819</v>
      </c>
      <c r="DJD97" s="975" t="s">
        <v>819</v>
      </c>
      <c r="DJE97" s="975" t="s">
        <v>819</v>
      </c>
      <c r="DJF97" s="975" t="s">
        <v>819</v>
      </c>
      <c r="DJG97" s="975" t="s">
        <v>819</v>
      </c>
      <c r="DJH97" s="975" t="s">
        <v>819</v>
      </c>
      <c r="DJI97" s="975" t="s">
        <v>819</v>
      </c>
      <c r="DJJ97" s="975" t="s">
        <v>819</v>
      </c>
      <c r="DJK97" s="975" t="s">
        <v>819</v>
      </c>
      <c r="DJL97" s="975" t="s">
        <v>819</v>
      </c>
      <c r="DJM97" s="975" t="s">
        <v>819</v>
      </c>
      <c r="DJN97" s="975" t="s">
        <v>819</v>
      </c>
      <c r="DJO97" s="975" t="s">
        <v>819</v>
      </c>
      <c r="DJP97" s="975" t="s">
        <v>819</v>
      </c>
      <c r="DJQ97" s="975" t="s">
        <v>819</v>
      </c>
      <c r="DJR97" s="975" t="s">
        <v>819</v>
      </c>
      <c r="DJS97" s="975" t="s">
        <v>819</v>
      </c>
      <c r="DJT97" s="975" t="s">
        <v>819</v>
      </c>
      <c r="DJU97" s="975" t="s">
        <v>819</v>
      </c>
      <c r="DJV97" s="975" t="s">
        <v>819</v>
      </c>
      <c r="DJW97" s="975" t="s">
        <v>819</v>
      </c>
      <c r="DJX97" s="975" t="s">
        <v>819</v>
      </c>
      <c r="DJY97" s="975" t="s">
        <v>819</v>
      </c>
      <c r="DJZ97" s="975" t="s">
        <v>819</v>
      </c>
      <c r="DKA97" s="975" t="s">
        <v>819</v>
      </c>
      <c r="DKB97" s="975" t="s">
        <v>819</v>
      </c>
      <c r="DKC97" s="975" t="s">
        <v>819</v>
      </c>
      <c r="DKD97" s="975" t="s">
        <v>819</v>
      </c>
      <c r="DKE97" s="975" t="s">
        <v>819</v>
      </c>
      <c r="DKF97" s="975" t="s">
        <v>819</v>
      </c>
      <c r="DKG97" s="975" t="s">
        <v>819</v>
      </c>
      <c r="DKH97" s="975" t="s">
        <v>819</v>
      </c>
      <c r="DKI97" s="975" t="s">
        <v>819</v>
      </c>
      <c r="DKJ97" s="975" t="s">
        <v>819</v>
      </c>
      <c r="DKK97" s="975" t="s">
        <v>819</v>
      </c>
      <c r="DKL97" s="975" t="s">
        <v>819</v>
      </c>
      <c r="DKM97" s="975" t="s">
        <v>819</v>
      </c>
      <c r="DKN97" s="975" t="s">
        <v>819</v>
      </c>
      <c r="DKO97" s="975" t="s">
        <v>819</v>
      </c>
      <c r="DKP97" s="975" t="s">
        <v>819</v>
      </c>
      <c r="DKQ97" s="975" t="s">
        <v>819</v>
      </c>
      <c r="DKR97" s="975" t="s">
        <v>819</v>
      </c>
      <c r="DKS97" s="975" t="s">
        <v>819</v>
      </c>
      <c r="DKT97" s="975" t="s">
        <v>819</v>
      </c>
      <c r="DKU97" s="975" t="s">
        <v>819</v>
      </c>
      <c r="DKV97" s="975" t="s">
        <v>819</v>
      </c>
      <c r="DKW97" s="975" t="s">
        <v>819</v>
      </c>
      <c r="DKX97" s="975" t="s">
        <v>819</v>
      </c>
      <c r="DKY97" s="975" t="s">
        <v>819</v>
      </c>
      <c r="DKZ97" s="975" t="s">
        <v>819</v>
      </c>
      <c r="DLA97" s="975" t="s">
        <v>819</v>
      </c>
      <c r="DLB97" s="975" t="s">
        <v>819</v>
      </c>
      <c r="DLC97" s="975" t="s">
        <v>819</v>
      </c>
      <c r="DLD97" s="975" t="s">
        <v>819</v>
      </c>
      <c r="DLE97" s="975" t="s">
        <v>819</v>
      </c>
      <c r="DLF97" s="975" t="s">
        <v>819</v>
      </c>
      <c r="DLG97" s="975" t="s">
        <v>819</v>
      </c>
      <c r="DLH97" s="975" t="s">
        <v>819</v>
      </c>
      <c r="DLI97" s="975" t="s">
        <v>819</v>
      </c>
      <c r="DLJ97" s="975" t="s">
        <v>819</v>
      </c>
      <c r="DLK97" s="975" t="s">
        <v>819</v>
      </c>
      <c r="DLL97" s="975" t="s">
        <v>819</v>
      </c>
      <c r="DLM97" s="975" t="s">
        <v>819</v>
      </c>
      <c r="DLN97" s="975" t="s">
        <v>819</v>
      </c>
      <c r="DLO97" s="975" t="s">
        <v>819</v>
      </c>
      <c r="DLP97" s="975" t="s">
        <v>819</v>
      </c>
      <c r="DLQ97" s="975" t="s">
        <v>819</v>
      </c>
      <c r="DLR97" s="975" t="s">
        <v>819</v>
      </c>
      <c r="DLS97" s="975" t="s">
        <v>819</v>
      </c>
      <c r="DLT97" s="975" t="s">
        <v>819</v>
      </c>
      <c r="DLU97" s="975" t="s">
        <v>819</v>
      </c>
      <c r="DLV97" s="975" t="s">
        <v>819</v>
      </c>
      <c r="DLW97" s="975" t="s">
        <v>819</v>
      </c>
      <c r="DLX97" s="975" t="s">
        <v>819</v>
      </c>
      <c r="DLY97" s="975" t="s">
        <v>819</v>
      </c>
      <c r="DLZ97" s="975" t="s">
        <v>819</v>
      </c>
      <c r="DMA97" s="975" t="s">
        <v>819</v>
      </c>
      <c r="DMB97" s="975" t="s">
        <v>819</v>
      </c>
      <c r="DMC97" s="975" t="s">
        <v>819</v>
      </c>
      <c r="DMD97" s="975" t="s">
        <v>819</v>
      </c>
      <c r="DME97" s="975" t="s">
        <v>819</v>
      </c>
      <c r="DMF97" s="975" t="s">
        <v>819</v>
      </c>
      <c r="DMG97" s="975" t="s">
        <v>819</v>
      </c>
      <c r="DMH97" s="975" t="s">
        <v>819</v>
      </c>
      <c r="DMI97" s="975" t="s">
        <v>819</v>
      </c>
      <c r="DMJ97" s="975" t="s">
        <v>819</v>
      </c>
      <c r="DMK97" s="975" t="s">
        <v>819</v>
      </c>
      <c r="DML97" s="975" t="s">
        <v>819</v>
      </c>
      <c r="DMM97" s="975" t="s">
        <v>819</v>
      </c>
      <c r="DMN97" s="975" t="s">
        <v>819</v>
      </c>
      <c r="DMO97" s="975" t="s">
        <v>819</v>
      </c>
      <c r="DMP97" s="975" t="s">
        <v>819</v>
      </c>
      <c r="DMQ97" s="975" t="s">
        <v>819</v>
      </c>
      <c r="DMR97" s="975" t="s">
        <v>819</v>
      </c>
      <c r="DMS97" s="975" t="s">
        <v>819</v>
      </c>
      <c r="DMT97" s="975" t="s">
        <v>819</v>
      </c>
      <c r="DMU97" s="975" t="s">
        <v>819</v>
      </c>
      <c r="DMV97" s="975" t="s">
        <v>819</v>
      </c>
      <c r="DMW97" s="975" t="s">
        <v>819</v>
      </c>
      <c r="DMX97" s="975" t="s">
        <v>819</v>
      </c>
      <c r="DMY97" s="975" t="s">
        <v>819</v>
      </c>
      <c r="DMZ97" s="975" t="s">
        <v>819</v>
      </c>
      <c r="DNA97" s="975" t="s">
        <v>819</v>
      </c>
      <c r="DNB97" s="975" t="s">
        <v>819</v>
      </c>
      <c r="DNC97" s="975" t="s">
        <v>819</v>
      </c>
      <c r="DND97" s="975" t="s">
        <v>819</v>
      </c>
      <c r="DNE97" s="975" t="s">
        <v>819</v>
      </c>
      <c r="DNF97" s="975" t="s">
        <v>819</v>
      </c>
      <c r="DNG97" s="975" t="s">
        <v>819</v>
      </c>
      <c r="DNH97" s="975" t="s">
        <v>819</v>
      </c>
      <c r="DNI97" s="975" t="s">
        <v>819</v>
      </c>
      <c r="DNJ97" s="975" t="s">
        <v>819</v>
      </c>
      <c r="DNK97" s="975" t="s">
        <v>819</v>
      </c>
      <c r="DNL97" s="975" t="s">
        <v>819</v>
      </c>
      <c r="DNM97" s="975" t="s">
        <v>819</v>
      </c>
      <c r="DNN97" s="975" t="s">
        <v>819</v>
      </c>
      <c r="DNO97" s="975" t="s">
        <v>819</v>
      </c>
      <c r="DNP97" s="975" t="s">
        <v>819</v>
      </c>
      <c r="DNQ97" s="975" t="s">
        <v>819</v>
      </c>
      <c r="DNR97" s="975" t="s">
        <v>819</v>
      </c>
      <c r="DNS97" s="975" t="s">
        <v>819</v>
      </c>
      <c r="DNT97" s="975" t="s">
        <v>819</v>
      </c>
      <c r="DNU97" s="975" t="s">
        <v>819</v>
      </c>
      <c r="DNV97" s="975" t="s">
        <v>819</v>
      </c>
      <c r="DNW97" s="975" t="s">
        <v>819</v>
      </c>
      <c r="DNX97" s="975" t="s">
        <v>819</v>
      </c>
      <c r="DNY97" s="975" t="s">
        <v>819</v>
      </c>
      <c r="DNZ97" s="975" t="s">
        <v>819</v>
      </c>
      <c r="DOA97" s="975" t="s">
        <v>819</v>
      </c>
      <c r="DOB97" s="975" t="s">
        <v>819</v>
      </c>
      <c r="DOC97" s="975" t="s">
        <v>819</v>
      </c>
      <c r="DOD97" s="975" t="s">
        <v>819</v>
      </c>
      <c r="DOE97" s="975" t="s">
        <v>819</v>
      </c>
      <c r="DOF97" s="975" t="s">
        <v>819</v>
      </c>
      <c r="DOG97" s="975" t="s">
        <v>819</v>
      </c>
      <c r="DOH97" s="975" t="s">
        <v>819</v>
      </c>
      <c r="DOI97" s="975" t="s">
        <v>819</v>
      </c>
      <c r="DOJ97" s="975" t="s">
        <v>819</v>
      </c>
      <c r="DOK97" s="975" t="s">
        <v>819</v>
      </c>
      <c r="DOL97" s="975" t="s">
        <v>819</v>
      </c>
      <c r="DOM97" s="975" t="s">
        <v>819</v>
      </c>
      <c r="DON97" s="975" t="s">
        <v>819</v>
      </c>
      <c r="DOO97" s="975" t="s">
        <v>819</v>
      </c>
      <c r="DOP97" s="975" t="s">
        <v>819</v>
      </c>
      <c r="DOQ97" s="975" t="s">
        <v>819</v>
      </c>
      <c r="DOR97" s="975" t="s">
        <v>819</v>
      </c>
      <c r="DOS97" s="975" t="s">
        <v>819</v>
      </c>
      <c r="DOT97" s="975" t="s">
        <v>819</v>
      </c>
      <c r="DOU97" s="975" t="s">
        <v>819</v>
      </c>
      <c r="DOV97" s="975" t="s">
        <v>819</v>
      </c>
      <c r="DOW97" s="975" t="s">
        <v>819</v>
      </c>
      <c r="DOX97" s="975" t="s">
        <v>819</v>
      </c>
      <c r="DOY97" s="975" t="s">
        <v>819</v>
      </c>
      <c r="DOZ97" s="975" t="s">
        <v>819</v>
      </c>
      <c r="DPA97" s="975" t="s">
        <v>819</v>
      </c>
      <c r="DPB97" s="975" t="s">
        <v>819</v>
      </c>
      <c r="DPC97" s="975" t="s">
        <v>819</v>
      </c>
      <c r="DPD97" s="975" t="s">
        <v>819</v>
      </c>
      <c r="DPE97" s="975" t="s">
        <v>819</v>
      </c>
      <c r="DPF97" s="975" t="s">
        <v>819</v>
      </c>
      <c r="DPG97" s="975" t="s">
        <v>819</v>
      </c>
      <c r="DPH97" s="975" t="s">
        <v>819</v>
      </c>
      <c r="DPI97" s="975" t="s">
        <v>819</v>
      </c>
      <c r="DPJ97" s="975" t="s">
        <v>819</v>
      </c>
      <c r="DPK97" s="975" t="s">
        <v>819</v>
      </c>
      <c r="DPL97" s="975" t="s">
        <v>819</v>
      </c>
      <c r="DPM97" s="975" t="s">
        <v>819</v>
      </c>
      <c r="DPN97" s="975" t="s">
        <v>819</v>
      </c>
      <c r="DPO97" s="975" t="s">
        <v>819</v>
      </c>
      <c r="DPP97" s="975" t="s">
        <v>819</v>
      </c>
      <c r="DPQ97" s="975" t="s">
        <v>819</v>
      </c>
      <c r="DPR97" s="975" t="s">
        <v>819</v>
      </c>
      <c r="DPS97" s="975" t="s">
        <v>819</v>
      </c>
      <c r="DPT97" s="975" t="s">
        <v>819</v>
      </c>
      <c r="DPU97" s="975" t="s">
        <v>819</v>
      </c>
      <c r="DPV97" s="975" t="s">
        <v>819</v>
      </c>
      <c r="DPW97" s="975" t="s">
        <v>819</v>
      </c>
      <c r="DPX97" s="975" t="s">
        <v>819</v>
      </c>
      <c r="DPY97" s="975" t="s">
        <v>819</v>
      </c>
      <c r="DPZ97" s="975" t="s">
        <v>819</v>
      </c>
      <c r="DQA97" s="975" t="s">
        <v>819</v>
      </c>
      <c r="DQB97" s="975" t="s">
        <v>819</v>
      </c>
      <c r="DQC97" s="975" t="s">
        <v>819</v>
      </c>
      <c r="DQD97" s="975" t="s">
        <v>819</v>
      </c>
      <c r="DQE97" s="975" t="s">
        <v>819</v>
      </c>
      <c r="DQF97" s="975" t="s">
        <v>819</v>
      </c>
      <c r="DQG97" s="975" t="s">
        <v>819</v>
      </c>
      <c r="DQH97" s="975" t="s">
        <v>819</v>
      </c>
      <c r="DQI97" s="975" t="s">
        <v>819</v>
      </c>
      <c r="DQJ97" s="975" t="s">
        <v>819</v>
      </c>
      <c r="DQK97" s="975" t="s">
        <v>819</v>
      </c>
      <c r="DQL97" s="975" t="s">
        <v>819</v>
      </c>
      <c r="DQM97" s="975" t="s">
        <v>819</v>
      </c>
      <c r="DQN97" s="975" t="s">
        <v>819</v>
      </c>
      <c r="DQO97" s="975" t="s">
        <v>819</v>
      </c>
      <c r="DQP97" s="975" t="s">
        <v>819</v>
      </c>
      <c r="DQQ97" s="975" t="s">
        <v>819</v>
      </c>
      <c r="DQR97" s="975" t="s">
        <v>819</v>
      </c>
      <c r="DQS97" s="975" t="s">
        <v>819</v>
      </c>
      <c r="DQT97" s="975" t="s">
        <v>819</v>
      </c>
      <c r="DQU97" s="975" t="s">
        <v>819</v>
      </c>
      <c r="DQV97" s="975" t="s">
        <v>819</v>
      </c>
      <c r="DQW97" s="975" t="s">
        <v>819</v>
      </c>
      <c r="DQX97" s="975" t="s">
        <v>819</v>
      </c>
      <c r="DQY97" s="975" t="s">
        <v>819</v>
      </c>
      <c r="DQZ97" s="975" t="s">
        <v>819</v>
      </c>
      <c r="DRA97" s="975" t="s">
        <v>819</v>
      </c>
      <c r="DRB97" s="975" t="s">
        <v>819</v>
      </c>
      <c r="DRC97" s="975" t="s">
        <v>819</v>
      </c>
      <c r="DRD97" s="975" t="s">
        <v>819</v>
      </c>
      <c r="DRE97" s="975" t="s">
        <v>819</v>
      </c>
      <c r="DRF97" s="975" t="s">
        <v>819</v>
      </c>
      <c r="DRG97" s="975" t="s">
        <v>819</v>
      </c>
      <c r="DRH97" s="975" t="s">
        <v>819</v>
      </c>
      <c r="DRI97" s="975" t="s">
        <v>819</v>
      </c>
      <c r="DRJ97" s="975" t="s">
        <v>819</v>
      </c>
      <c r="DRK97" s="975" t="s">
        <v>819</v>
      </c>
      <c r="DRL97" s="975" t="s">
        <v>819</v>
      </c>
      <c r="DRM97" s="975" t="s">
        <v>819</v>
      </c>
      <c r="DRN97" s="975" t="s">
        <v>819</v>
      </c>
      <c r="DRO97" s="975" t="s">
        <v>819</v>
      </c>
      <c r="DRP97" s="975" t="s">
        <v>819</v>
      </c>
      <c r="DRQ97" s="975" t="s">
        <v>819</v>
      </c>
      <c r="DRR97" s="975" t="s">
        <v>819</v>
      </c>
      <c r="DRS97" s="975" t="s">
        <v>819</v>
      </c>
      <c r="DRT97" s="975" t="s">
        <v>819</v>
      </c>
      <c r="DRU97" s="975" t="s">
        <v>819</v>
      </c>
      <c r="DRV97" s="975" t="s">
        <v>819</v>
      </c>
      <c r="DRW97" s="975" t="s">
        <v>819</v>
      </c>
      <c r="DRX97" s="975" t="s">
        <v>819</v>
      </c>
      <c r="DRY97" s="975" t="s">
        <v>819</v>
      </c>
      <c r="DRZ97" s="975" t="s">
        <v>819</v>
      </c>
      <c r="DSA97" s="975" t="s">
        <v>819</v>
      </c>
      <c r="DSB97" s="975" t="s">
        <v>819</v>
      </c>
      <c r="DSC97" s="975" t="s">
        <v>819</v>
      </c>
      <c r="DSD97" s="975" t="s">
        <v>819</v>
      </c>
      <c r="DSE97" s="975" t="s">
        <v>819</v>
      </c>
      <c r="DSF97" s="975" t="s">
        <v>819</v>
      </c>
      <c r="DSG97" s="975" t="s">
        <v>819</v>
      </c>
      <c r="DSH97" s="975" t="s">
        <v>819</v>
      </c>
      <c r="DSI97" s="975" t="s">
        <v>819</v>
      </c>
      <c r="DSJ97" s="975" t="s">
        <v>819</v>
      </c>
      <c r="DSK97" s="975" t="s">
        <v>819</v>
      </c>
      <c r="DSL97" s="975" t="s">
        <v>819</v>
      </c>
      <c r="DSM97" s="975" t="s">
        <v>819</v>
      </c>
      <c r="DSN97" s="975" t="s">
        <v>819</v>
      </c>
      <c r="DSO97" s="975" t="s">
        <v>819</v>
      </c>
      <c r="DSP97" s="975" t="s">
        <v>819</v>
      </c>
      <c r="DSQ97" s="975" t="s">
        <v>819</v>
      </c>
      <c r="DSR97" s="975" t="s">
        <v>819</v>
      </c>
      <c r="DSS97" s="975" t="s">
        <v>819</v>
      </c>
      <c r="DST97" s="975" t="s">
        <v>819</v>
      </c>
      <c r="DSU97" s="975" t="s">
        <v>819</v>
      </c>
      <c r="DSV97" s="975" t="s">
        <v>819</v>
      </c>
      <c r="DSW97" s="975" t="s">
        <v>819</v>
      </c>
      <c r="DSX97" s="975" t="s">
        <v>819</v>
      </c>
      <c r="DSY97" s="975" t="s">
        <v>819</v>
      </c>
      <c r="DSZ97" s="975" t="s">
        <v>819</v>
      </c>
      <c r="DTA97" s="975" t="s">
        <v>819</v>
      </c>
      <c r="DTB97" s="975" t="s">
        <v>819</v>
      </c>
      <c r="DTC97" s="975" t="s">
        <v>819</v>
      </c>
      <c r="DTD97" s="975" t="s">
        <v>819</v>
      </c>
      <c r="DTE97" s="975" t="s">
        <v>819</v>
      </c>
      <c r="DTF97" s="975" t="s">
        <v>819</v>
      </c>
      <c r="DTG97" s="975" t="s">
        <v>819</v>
      </c>
      <c r="DTH97" s="975" t="s">
        <v>819</v>
      </c>
      <c r="DTI97" s="975" t="s">
        <v>819</v>
      </c>
      <c r="DTJ97" s="975" t="s">
        <v>819</v>
      </c>
      <c r="DTK97" s="975" t="s">
        <v>819</v>
      </c>
      <c r="DTL97" s="975" t="s">
        <v>819</v>
      </c>
      <c r="DTM97" s="975" t="s">
        <v>819</v>
      </c>
      <c r="DTN97" s="975" t="s">
        <v>819</v>
      </c>
      <c r="DTO97" s="975" t="s">
        <v>819</v>
      </c>
      <c r="DTP97" s="975" t="s">
        <v>819</v>
      </c>
      <c r="DTQ97" s="975" t="s">
        <v>819</v>
      </c>
      <c r="DTR97" s="975" t="s">
        <v>819</v>
      </c>
      <c r="DTS97" s="975" t="s">
        <v>819</v>
      </c>
      <c r="DTT97" s="975" t="s">
        <v>819</v>
      </c>
      <c r="DTU97" s="975" t="s">
        <v>819</v>
      </c>
      <c r="DTV97" s="975" t="s">
        <v>819</v>
      </c>
      <c r="DTW97" s="975" t="s">
        <v>819</v>
      </c>
      <c r="DTX97" s="975" t="s">
        <v>819</v>
      </c>
      <c r="DTY97" s="975" t="s">
        <v>819</v>
      </c>
      <c r="DTZ97" s="975" t="s">
        <v>819</v>
      </c>
      <c r="DUA97" s="975" t="s">
        <v>819</v>
      </c>
      <c r="DUB97" s="975" t="s">
        <v>819</v>
      </c>
      <c r="DUC97" s="975" t="s">
        <v>819</v>
      </c>
      <c r="DUD97" s="975" t="s">
        <v>819</v>
      </c>
      <c r="DUE97" s="975" t="s">
        <v>819</v>
      </c>
      <c r="DUF97" s="975" t="s">
        <v>819</v>
      </c>
      <c r="DUG97" s="975" t="s">
        <v>819</v>
      </c>
      <c r="DUH97" s="975" t="s">
        <v>819</v>
      </c>
      <c r="DUI97" s="975" t="s">
        <v>819</v>
      </c>
      <c r="DUJ97" s="975" t="s">
        <v>819</v>
      </c>
      <c r="DUK97" s="975" t="s">
        <v>819</v>
      </c>
      <c r="DUL97" s="975" t="s">
        <v>819</v>
      </c>
      <c r="DUM97" s="975" t="s">
        <v>819</v>
      </c>
      <c r="DUN97" s="975" t="s">
        <v>819</v>
      </c>
      <c r="DUO97" s="975" t="s">
        <v>819</v>
      </c>
      <c r="DUP97" s="975" t="s">
        <v>819</v>
      </c>
      <c r="DUQ97" s="975" t="s">
        <v>819</v>
      </c>
      <c r="DUR97" s="975" t="s">
        <v>819</v>
      </c>
      <c r="DUS97" s="975" t="s">
        <v>819</v>
      </c>
      <c r="DUT97" s="975" t="s">
        <v>819</v>
      </c>
      <c r="DUU97" s="975" t="s">
        <v>819</v>
      </c>
      <c r="DUV97" s="975" t="s">
        <v>819</v>
      </c>
      <c r="DUW97" s="975" t="s">
        <v>819</v>
      </c>
      <c r="DUX97" s="975" t="s">
        <v>819</v>
      </c>
      <c r="DUY97" s="975" t="s">
        <v>819</v>
      </c>
      <c r="DUZ97" s="975" t="s">
        <v>819</v>
      </c>
      <c r="DVA97" s="975" t="s">
        <v>819</v>
      </c>
      <c r="DVB97" s="975" t="s">
        <v>819</v>
      </c>
      <c r="DVC97" s="975" t="s">
        <v>819</v>
      </c>
      <c r="DVD97" s="975" t="s">
        <v>819</v>
      </c>
      <c r="DVE97" s="975" t="s">
        <v>819</v>
      </c>
      <c r="DVF97" s="975" t="s">
        <v>819</v>
      </c>
      <c r="DVG97" s="975" t="s">
        <v>819</v>
      </c>
      <c r="DVH97" s="975" t="s">
        <v>819</v>
      </c>
      <c r="DVI97" s="975" t="s">
        <v>819</v>
      </c>
      <c r="DVJ97" s="975" t="s">
        <v>819</v>
      </c>
      <c r="DVK97" s="975" t="s">
        <v>819</v>
      </c>
      <c r="DVL97" s="975" t="s">
        <v>819</v>
      </c>
      <c r="DVM97" s="975" t="s">
        <v>819</v>
      </c>
      <c r="DVN97" s="975" t="s">
        <v>819</v>
      </c>
      <c r="DVO97" s="975" t="s">
        <v>819</v>
      </c>
      <c r="DVP97" s="975" t="s">
        <v>819</v>
      </c>
      <c r="DVQ97" s="975" t="s">
        <v>819</v>
      </c>
      <c r="DVR97" s="975" t="s">
        <v>819</v>
      </c>
      <c r="DVS97" s="975" t="s">
        <v>819</v>
      </c>
      <c r="DVT97" s="975" t="s">
        <v>819</v>
      </c>
      <c r="DVU97" s="975" t="s">
        <v>819</v>
      </c>
      <c r="DVV97" s="975" t="s">
        <v>819</v>
      </c>
      <c r="DVW97" s="975" t="s">
        <v>819</v>
      </c>
      <c r="DVX97" s="975" t="s">
        <v>819</v>
      </c>
      <c r="DVY97" s="975" t="s">
        <v>819</v>
      </c>
      <c r="DVZ97" s="975" t="s">
        <v>819</v>
      </c>
      <c r="DWA97" s="975" t="s">
        <v>819</v>
      </c>
      <c r="DWB97" s="975" t="s">
        <v>819</v>
      </c>
      <c r="DWC97" s="975" t="s">
        <v>819</v>
      </c>
      <c r="DWD97" s="975" t="s">
        <v>819</v>
      </c>
      <c r="DWE97" s="975" t="s">
        <v>819</v>
      </c>
      <c r="DWF97" s="975" t="s">
        <v>819</v>
      </c>
      <c r="DWG97" s="975" t="s">
        <v>819</v>
      </c>
      <c r="DWH97" s="975" t="s">
        <v>819</v>
      </c>
      <c r="DWI97" s="975" t="s">
        <v>819</v>
      </c>
      <c r="DWJ97" s="975" t="s">
        <v>819</v>
      </c>
      <c r="DWK97" s="975" t="s">
        <v>819</v>
      </c>
      <c r="DWL97" s="975" t="s">
        <v>819</v>
      </c>
      <c r="DWM97" s="975" t="s">
        <v>819</v>
      </c>
      <c r="DWN97" s="975" t="s">
        <v>819</v>
      </c>
      <c r="DWO97" s="975" t="s">
        <v>819</v>
      </c>
      <c r="DWP97" s="975" t="s">
        <v>819</v>
      </c>
      <c r="DWQ97" s="975" t="s">
        <v>819</v>
      </c>
      <c r="DWR97" s="975" t="s">
        <v>819</v>
      </c>
      <c r="DWS97" s="975" t="s">
        <v>819</v>
      </c>
      <c r="DWT97" s="975" t="s">
        <v>819</v>
      </c>
      <c r="DWU97" s="975" t="s">
        <v>819</v>
      </c>
      <c r="DWV97" s="975" t="s">
        <v>819</v>
      </c>
      <c r="DWW97" s="975" t="s">
        <v>819</v>
      </c>
      <c r="DWX97" s="975" t="s">
        <v>819</v>
      </c>
      <c r="DWY97" s="975" t="s">
        <v>819</v>
      </c>
      <c r="DWZ97" s="975" t="s">
        <v>819</v>
      </c>
      <c r="DXA97" s="975" t="s">
        <v>819</v>
      </c>
      <c r="DXB97" s="975" t="s">
        <v>819</v>
      </c>
      <c r="DXC97" s="975" t="s">
        <v>819</v>
      </c>
      <c r="DXD97" s="975" t="s">
        <v>819</v>
      </c>
      <c r="DXE97" s="975" t="s">
        <v>819</v>
      </c>
      <c r="DXF97" s="975" t="s">
        <v>819</v>
      </c>
      <c r="DXG97" s="975" t="s">
        <v>819</v>
      </c>
      <c r="DXH97" s="975" t="s">
        <v>819</v>
      </c>
      <c r="DXI97" s="975" t="s">
        <v>819</v>
      </c>
      <c r="DXJ97" s="975" t="s">
        <v>819</v>
      </c>
      <c r="DXK97" s="975" t="s">
        <v>819</v>
      </c>
      <c r="DXL97" s="975" t="s">
        <v>819</v>
      </c>
      <c r="DXM97" s="975" t="s">
        <v>819</v>
      </c>
      <c r="DXN97" s="975" t="s">
        <v>819</v>
      </c>
      <c r="DXO97" s="975" t="s">
        <v>819</v>
      </c>
      <c r="DXP97" s="975" t="s">
        <v>819</v>
      </c>
      <c r="DXQ97" s="975" t="s">
        <v>819</v>
      </c>
      <c r="DXR97" s="975" t="s">
        <v>819</v>
      </c>
      <c r="DXS97" s="975" t="s">
        <v>819</v>
      </c>
      <c r="DXT97" s="975" t="s">
        <v>819</v>
      </c>
      <c r="DXU97" s="975" t="s">
        <v>819</v>
      </c>
      <c r="DXV97" s="975" t="s">
        <v>819</v>
      </c>
      <c r="DXW97" s="975" t="s">
        <v>819</v>
      </c>
      <c r="DXX97" s="975" t="s">
        <v>819</v>
      </c>
      <c r="DXY97" s="975" t="s">
        <v>819</v>
      </c>
      <c r="DXZ97" s="975" t="s">
        <v>819</v>
      </c>
      <c r="DYA97" s="975" t="s">
        <v>819</v>
      </c>
      <c r="DYB97" s="975" t="s">
        <v>819</v>
      </c>
      <c r="DYC97" s="975" t="s">
        <v>819</v>
      </c>
      <c r="DYD97" s="975" t="s">
        <v>819</v>
      </c>
      <c r="DYE97" s="975" t="s">
        <v>819</v>
      </c>
      <c r="DYF97" s="975" t="s">
        <v>819</v>
      </c>
      <c r="DYG97" s="975" t="s">
        <v>819</v>
      </c>
      <c r="DYH97" s="975" t="s">
        <v>819</v>
      </c>
      <c r="DYI97" s="975" t="s">
        <v>819</v>
      </c>
      <c r="DYJ97" s="975" t="s">
        <v>819</v>
      </c>
      <c r="DYK97" s="975" t="s">
        <v>819</v>
      </c>
      <c r="DYL97" s="975" t="s">
        <v>819</v>
      </c>
      <c r="DYM97" s="975" t="s">
        <v>819</v>
      </c>
      <c r="DYN97" s="975" t="s">
        <v>819</v>
      </c>
      <c r="DYO97" s="975" t="s">
        <v>819</v>
      </c>
      <c r="DYP97" s="975" t="s">
        <v>819</v>
      </c>
      <c r="DYQ97" s="975" t="s">
        <v>819</v>
      </c>
      <c r="DYR97" s="975" t="s">
        <v>819</v>
      </c>
      <c r="DYS97" s="975" t="s">
        <v>819</v>
      </c>
      <c r="DYT97" s="975" t="s">
        <v>819</v>
      </c>
      <c r="DYU97" s="975" t="s">
        <v>819</v>
      </c>
      <c r="DYV97" s="975" t="s">
        <v>819</v>
      </c>
      <c r="DYW97" s="975" t="s">
        <v>819</v>
      </c>
      <c r="DYX97" s="975" t="s">
        <v>819</v>
      </c>
      <c r="DYY97" s="975" t="s">
        <v>819</v>
      </c>
      <c r="DYZ97" s="975" t="s">
        <v>819</v>
      </c>
      <c r="DZA97" s="975" t="s">
        <v>819</v>
      </c>
      <c r="DZB97" s="975" t="s">
        <v>819</v>
      </c>
      <c r="DZC97" s="975" t="s">
        <v>819</v>
      </c>
      <c r="DZD97" s="975" t="s">
        <v>819</v>
      </c>
      <c r="DZE97" s="975" t="s">
        <v>819</v>
      </c>
      <c r="DZF97" s="975" t="s">
        <v>819</v>
      </c>
      <c r="DZG97" s="975" t="s">
        <v>819</v>
      </c>
      <c r="DZH97" s="975" t="s">
        <v>819</v>
      </c>
      <c r="DZI97" s="975" t="s">
        <v>819</v>
      </c>
      <c r="DZJ97" s="975" t="s">
        <v>819</v>
      </c>
      <c r="DZK97" s="975" t="s">
        <v>819</v>
      </c>
      <c r="DZL97" s="975" t="s">
        <v>819</v>
      </c>
      <c r="DZM97" s="975" t="s">
        <v>819</v>
      </c>
      <c r="DZN97" s="975" t="s">
        <v>819</v>
      </c>
      <c r="DZO97" s="975" t="s">
        <v>819</v>
      </c>
      <c r="DZP97" s="975" t="s">
        <v>819</v>
      </c>
      <c r="DZQ97" s="975" t="s">
        <v>819</v>
      </c>
      <c r="DZR97" s="975" t="s">
        <v>819</v>
      </c>
      <c r="DZS97" s="975" t="s">
        <v>819</v>
      </c>
      <c r="DZT97" s="975" t="s">
        <v>819</v>
      </c>
      <c r="DZU97" s="975" t="s">
        <v>819</v>
      </c>
      <c r="DZV97" s="975" t="s">
        <v>819</v>
      </c>
      <c r="DZW97" s="975" t="s">
        <v>819</v>
      </c>
      <c r="DZX97" s="975" t="s">
        <v>819</v>
      </c>
      <c r="DZY97" s="975" t="s">
        <v>819</v>
      </c>
      <c r="DZZ97" s="975" t="s">
        <v>819</v>
      </c>
      <c r="EAA97" s="975" t="s">
        <v>819</v>
      </c>
      <c r="EAB97" s="975" t="s">
        <v>819</v>
      </c>
      <c r="EAC97" s="975" t="s">
        <v>819</v>
      </c>
      <c r="EAD97" s="975" t="s">
        <v>819</v>
      </c>
      <c r="EAE97" s="975" t="s">
        <v>819</v>
      </c>
      <c r="EAF97" s="975" t="s">
        <v>819</v>
      </c>
      <c r="EAG97" s="975" t="s">
        <v>819</v>
      </c>
      <c r="EAH97" s="975" t="s">
        <v>819</v>
      </c>
      <c r="EAI97" s="975" t="s">
        <v>819</v>
      </c>
      <c r="EAJ97" s="975" t="s">
        <v>819</v>
      </c>
      <c r="EAK97" s="975" t="s">
        <v>819</v>
      </c>
      <c r="EAL97" s="975" t="s">
        <v>819</v>
      </c>
      <c r="EAM97" s="975" t="s">
        <v>819</v>
      </c>
      <c r="EAN97" s="975" t="s">
        <v>819</v>
      </c>
      <c r="EAO97" s="975" t="s">
        <v>819</v>
      </c>
      <c r="EAP97" s="975" t="s">
        <v>819</v>
      </c>
      <c r="EAQ97" s="975" t="s">
        <v>819</v>
      </c>
      <c r="EAR97" s="975" t="s">
        <v>819</v>
      </c>
      <c r="EAS97" s="975" t="s">
        <v>819</v>
      </c>
      <c r="EAT97" s="975" t="s">
        <v>819</v>
      </c>
      <c r="EAU97" s="975" t="s">
        <v>819</v>
      </c>
      <c r="EAV97" s="975" t="s">
        <v>819</v>
      </c>
      <c r="EAW97" s="975" t="s">
        <v>819</v>
      </c>
      <c r="EAX97" s="975" t="s">
        <v>819</v>
      </c>
      <c r="EAY97" s="975" t="s">
        <v>819</v>
      </c>
      <c r="EAZ97" s="975" t="s">
        <v>819</v>
      </c>
      <c r="EBA97" s="975" t="s">
        <v>819</v>
      </c>
      <c r="EBB97" s="975" t="s">
        <v>819</v>
      </c>
      <c r="EBC97" s="975" t="s">
        <v>819</v>
      </c>
      <c r="EBD97" s="975" t="s">
        <v>819</v>
      </c>
      <c r="EBE97" s="975" t="s">
        <v>819</v>
      </c>
      <c r="EBF97" s="975" t="s">
        <v>819</v>
      </c>
      <c r="EBG97" s="975" t="s">
        <v>819</v>
      </c>
      <c r="EBH97" s="975" t="s">
        <v>819</v>
      </c>
      <c r="EBI97" s="975" t="s">
        <v>819</v>
      </c>
      <c r="EBJ97" s="975" t="s">
        <v>819</v>
      </c>
      <c r="EBK97" s="975" t="s">
        <v>819</v>
      </c>
      <c r="EBL97" s="975" t="s">
        <v>819</v>
      </c>
      <c r="EBM97" s="975" t="s">
        <v>819</v>
      </c>
      <c r="EBN97" s="975" t="s">
        <v>819</v>
      </c>
      <c r="EBO97" s="975" t="s">
        <v>819</v>
      </c>
      <c r="EBP97" s="975" t="s">
        <v>819</v>
      </c>
      <c r="EBQ97" s="975" t="s">
        <v>819</v>
      </c>
      <c r="EBR97" s="975" t="s">
        <v>819</v>
      </c>
      <c r="EBS97" s="975" t="s">
        <v>819</v>
      </c>
      <c r="EBT97" s="975" t="s">
        <v>819</v>
      </c>
      <c r="EBU97" s="975" t="s">
        <v>819</v>
      </c>
      <c r="EBV97" s="975" t="s">
        <v>819</v>
      </c>
      <c r="EBW97" s="975" t="s">
        <v>819</v>
      </c>
      <c r="EBX97" s="975" t="s">
        <v>819</v>
      </c>
      <c r="EBY97" s="975" t="s">
        <v>819</v>
      </c>
      <c r="EBZ97" s="975" t="s">
        <v>819</v>
      </c>
      <c r="ECA97" s="975" t="s">
        <v>819</v>
      </c>
      <c r="ECB97" s="975" t="s">
        <v>819</v>
      </c>
      <c r="ECC97" s="975" t="s">
        <v>819</v>
      </c>
      <c r="ECD97" s="975" t="s">
        <v>819</v>
      </c>
      <c r="ECE97" s="975" t="s">
        <v>819</v>
      </c>
      <c r="ECF97" s="975" t="s">
        <v>819</v>
      </c>
      <c r="ECG97" s="975" t="s">
        <v>819</v>
      </c>
      <c r="ECH97" s="975" t="s">
        <v>819</v>
      </c>
      <c r="ECI97" s="975" t="s">
        <v>819</v>
      </c>
      <c r="ECJ97" s="975" t="s">
        <v>819</v>
      </c>
      <c r="ECK97" s="975" t="s">
        <v>819</v>
      </c>
      <c r="ECL97" s="975" t="s">
        <v>819</v>
      </c>
      <c r="ECM97" s="975" t="s">
        <v>819</v>
      </c>
      <c r="ECN97" s="975" t="s">
        <v>819</v>
      </c>
      <c r="ECO97" s="975" t="s">
        <v>819</v>
      </c>
      <c r="ECP97" s="975" t="s">
        <v>819</v>
      </c>
      <c r="ECQ97" s="975" t="s">
        <v>819</v>
      </c>
      <c r="ECR97" s="975" t="s">
        <v>819</v>
      </c>
      <c r="ECS97" s="975" t="s">
        <v>819</v>
      </c>
      <c r="ECT97" s="975" t="s">
        <v>819</v>
      </c>
      <c r="ECU97" s="975" t="s">
        <v>819</v>
      </c>
      <c r="ECV97" s="975" t="s">
        <v>819</v>
      </c>
      <c r="ECW97" s="975" t="s">
        <v>819</v>
      </c>
      <c r="ECX97" s="975" t="s">
        <v>819</v>
      </c>
      <c r="ECY97" s="975" t="s">
        <v>819</v>
      </c>
      <c r="ECZ97" s="975" t="s">
        <v>819</v>
      </c>
      <c r="EDA97" s="975" t="s">
        <v>819</v>
      </c>
      <c r="EDB97" s="975" t="s">
        <v>819</v>
      </c>
      <c r="EDC97" s="975" t="s">
        <v>819</v>
      </c>
      <c r="EDD97" s="975" t="s">
        <v>819</v>
      </c>
      <c r="EDE97" s="975" t="s">
        <v>819</v>
      </c>
      <c r="EDF97" s="975" t="s">
        <v>819</v>
      </c>
      <c r="EDG97" s="975" t="s">
        <v>819</v>
      </c>
      <c r="EDH97" s="975" t="s">
        <v>819</v>
      </c>
      <c r="EDI97" s="975" t="s">
        <v>819</v>
      </c>
      <c r="EDJ97" s="975" t="s">
        <v>819</v>
      </c>
      <c r="EDK97" s="975" t="s">
        <v>819</v>
      </c>
      <c r="EDL97" s="975" t="s">
        <v>819</v>
      </c>
      <c r="EDM97" s="975" t="s">
        <v>819</v>
      </c>
      <c r="EDN97" s="975" t="s">
        <v>819</v>
      </c>
      <c r="EDO97" s="975" t="s">
        <v>819</v>
      </c>
      <c r="EDP97" s="975" t="s">
        <v>819</v>
      </c>
      <c r="EDQ97" s="975" t="s">
        <v>819</v>
      </c>
      <c r="EDR97" s="975" t="s">
        <v>819</v>
      </c>
      <c r="EDS97" s="975" t="s">
        <v>819</v>
      </c>
      <c r="EDT97" s="975" t="s">
        <v>819</v>
      </c>
      <c r="EDU97" s="975" t="s">
        <v>819</v>
      </c>
      <c r="EDV97" s="975" t="s">
        <v>819</v>
      </c>
      <c r="EDW97" s="975" t="s">
        <v>819</v>
      </c>
      <c r="EDX97" s="975" t="s">
        <v>819</v>
      </c>
      <c r="EDY97" s="975" t="s">
        <v>819</v>
      </c>
      <c r="EDZ97" s="975" t="s">
        <v>819</v>
      </c>
      <c r="EEA97" s="975" t="s">
        <v>819</v>
      </c>
      <c r="EEB97" s="975" t="s">
        <v>819</v>
      </c>
      <c r="EEC97" s="975" t="s">
        <v>819</v>
      </c>
      <c r="EED97" s="975" t="s">
        <v>819</v>
      </c>
      <c r="EEE97" s="975" t="s">
        <v>819</v>
      </c>
      <c r="EEF97" s="975" t="s">
        <v>819</v>
      </c>
      <c r="EEG97" s="975" t="s">
        <v>819</v>
      </c>
      <c r="EEH97" s="975" t="s">
        <v>819</v>
      </c>
      <c r="EEI97" s="975" t="s">
        <v>819</v>
      </c>
      <c r="EEJ97" s="975" t="s">
        <v>819</v>
      </c>
      <c r="EEK97" s="975" t="s">
        <v>819</v>
      </c>
      <c r="EEL97" s="975" t="s">
        <v>819</v>
      </c>
      <c r="EEM97" s="975" t="s">
        <v>819</v>
      </c>
      <c r="EEN97" s="975" t="s">
        <v>819</v>
      </c>
      <c r="EEO97" s="975" t="s">
        <v>819</v>
      </c>
      <c r="EEP97" s="975" t="s">
        <v>819</v>
      </c>
      <c r="EEQ97" s="975" t="s">
        <v>819</v>
      </c>
      <c r="EER97" s="975" t="s">
        <v>819</v>
      </c>
      <c r="EES97" s="975" t="s">
        <v>819</v>
      </c>
      <c r="EET97" s="975" t="s">
        <v>819</v>
      </c>
      <c r="EEU97" s="975" t="s">
        <v>819</v>
      </c>
      <c r="EEV97" s="975" t="s">
        <v>819</v>
      </c>
      <c r="EEW97" s="975" t="s">
        <v>819</v>
      </c>
      <c r="EEX97" s="975" t="s">
        <v>819</v>
      </c>
      <c r="EEY97" s="975" t="s">
        <v>819</v>
      </c>
      <c r="EEZ97" s="975" t="s">
        <v>819</v>
      </c>
      <c r="EFA97" s="975" t="s">
        <v>819</v>
      </c>
      <c r="EFB97" s="975" t="s">
        <v>819</v>
      </c>
      <c r="EFC97" s="975" t="s">
        <v>819</v>
      </c>
      <c r="EFD97" s="975" t="s">
        <v>819</v>
      </c>
      <c r="EFE97" s="975" t="s">
        <v>819</v>
      </c>
      <c r="EFF97" s="975" t="s">
        <v>819</v>
      </c>
      <c r="EFG97" s="975" t="s">
        <v>819</v>
      </c>
      <c r="EFH97" s="975" t="s">
        <v>819</v>
      </c>
      <c r="EFI97" s="975" t="s">
        <v>819</v>
      </c>
      <c r="EFJ97" s="975" t="s">
        <v>819</v>
      </c>
      <c r="EFK97" s="975" t="s">
        <v>819</v>
      </c>
      <c r="EFL97" s="975" t="s">
        <v>819</v>
      </c>
      <c r="EFM97" s="975" t="s">
        <v>819</v>
      </c>
      <c r="EFN97" s="975" t="s">
        <v>819</v>
      </c>
      <c r="EFO97" s="975" t="s">
        <v>819</v>
      </c>
      <c r="EFP97" s="975" t="s">
        <v>819</v>
      </c>
      <c r="EFQ97" s="975" t="s">
        <v>819</v>
      </c>
      <c r="EFR97" s="975" t="s">
        <v>819</v>
      </c>
      <c r="EFS97" s="975" t="s">
        <v>819</v>
      </c>
      <c r="EFT97" s="975" t="s">
        <v>819</v>
      </c>
      <c r="EFU97" s="975" t="s">
        <v>819</v>
      </c>
      <c r="EFV97" s="975" t="s">
        <v>819</v>
      </c>
      <c r="EFW97" s="975" t="s">
        <v>819</v>
      </c>
      <c r="EFX97" s="975" t="s">
        <v>819</v>
      </c>
      <c r="EFY97" s="975" t="s">
        <v>819</v>
      </c>
      <c r="EFZ97" s="975" t="s">
        <v>819</v>
      </c>
      <c r="EGA97" s="975" t="s">
        <v>819</v>
      </c>
      <c r="EGB97" s="975" t="s">
        <v>819</v>
      </c>
      <c r="EGC97" s="975" t="s">
        <v>819</v>
      </c>
      <c r="EGD97" s="975" t="s">
        <v>819</v>
      </c>
      <c r="EGE97" s="975" t="s">
        <v>819</v>
      </c>
      <c r="EGF97" s="975" t="s">
        <v>819</v>
      </c>
      <c r="EGG97" s="975" t="s">
        <v>819</v>
      </c>
      <c r="EGH97" s="975" t="s">
        <v>819</v>
      </c>
      <c r="EGI97" s="975" t="s">
        <v>819</v>
      </c>
      <c r="EGJ97" s="975" t="s">
        <v>819</v>
      </c>
      <c r="EGK97" s="975" t="s">
        <v>819</v>
      </c>
      <c r="EGL97" s="975" t="s">
        <v>819</v>
      </c>
      <c r="EGM97" s="975" t="s">
        <v>819</v>
      </c>
      <c r="EGN97" s="975" t="s">
        <v>819</v>
      </c>
      <c r="EGO97" s="975" t="s">
        <v>819</v>
      </c>
      <c r="EGP97" s="975" t="s">
        <v>819</v>
      </c>
      <c r="EGQ97" s="975" t="s">
        <v>819</v>
      </c>
      <c r="EGR97" s="975" t="s">
        <v>819</v>
      </c>
      <c r="EGS97" s="975" t="s">
        <v>819</v>
      </c>
      <c r="EGT97" s="975" t="s">
        <v>819</v>
      </c>
      <c r="EGU97" s="975" t="s">
        <v>819</v>
      </c>
      <c r="EGV97" s="975" t="s">
        <v>819</v>
      </c>
      <c r="EGW97" s="975" t="s">
        <v>819</v>
      </c>
      <c r="EGX97" s="975" t="s">
        <v>819</v>
      </c>
      <c r="EGY97" s="975" t="s">
        <v>819</v>
      </c>
      <c r="EGZ97" s="975" t="s">
        <v>819</v>
      </c>
      <c r="EHA97" s="975" t="s">
        <v>819</v>
      </c>
      <c r="EHB97" s="975" t="s">
        <v>819</v>
      </c>
      <c r="EHC97" s="975" t="s">
        <v>819</v>
      </c>
      <c r="EHD97" s="975" t="s">
        <v>819</v>
      </c>
      <c r="EHE97" s="975" t="s">
        <v>819</v>
      </c>
      <c r="EHF97" s="975" t="s">
        <v>819</v>
      </c>
      <c r="EHG97" s="975" t="s">
        <v>819</v>
      </c>
      <c r="EHH97" s="975" t="s">
        <v>819</v>
      </c>
      <c r="EHI97" s="975" t="s">
        <v>819</v>
      </c>
      <c r="EHJ97" s="975" t="s">
        <v>819</v>
      </c>
      <c r="EHK97" s="975" t="s">
        <v>819</v>
      </c>
      <c r="EHL97" s="975" t="s">
        <v>819</v>
      </c>
      <c r="EHM97" s="975" t="s">
        <v>819</v>
      </c>
      <c r="EHN97" s="975" t="s">
        <v>819</v>
      </c>
      <c r="EHO97" s="975" t="s">
        <v>819</v>
      </c>
      <c r="EHP97" s="975" t="s">
        <v>819</v>
      </c>
      <c r="EHQ97" s="975" t="s">
        <v>819</v>
      </c>
      <c r="EHR97" s="975" t="s">
        <v>819</v>
      </c>
      <c r="EHS97" s="975" t="s">
        <v>819</v>
      </c>
      <c r="EHT97" s="975" t="s">
        <v>819</v>
      </c>
      <c r="EHU97" s="975" t="s">
        <v>819</v>
      </c>
      <c r="EHV97" s="975" t="s">
        <v>819</v>
      </c>
      <c r="EHW97" s="975" t="s">
        <v>819</v>
      </c>
      <c r="EHX97" s="975" t="s">
        <v>819</v>
      </c>
      <c r="EHY97" s="975" t="s">
        <v>819</v>
      </c>
      <c r="EHZ97" s="975" t="s">
        <v>819</v>
      </c>
      <c r="EIA97" s="975" t="s">
        <v>819</v>
      </c>
      <c r="EIB97" s="975" t="s">
        <v>819</v>
      </c>
      <c r="EIC97" s="975" t="s">
        <v>819</v>
      </c>
      <c r="EID97" s="975" t="s">
        <v>819</v>
      </c>
      <c r="EIE97" s="975" t="s">
        <v>819</v>
      </c>
      <c r="EIF97" s="975" t="s">
        <v>819</v>
      </c>
      <c r="EIG97" s="975" t="s">
        <v>819</v>
      </c>
      <c r="EIH97" s="975" t="s">
        <v>819</v>
      </c>
      <c r="EII97" s="975" t="s">
        <v>819</v>
      </c>
      <c r="EIJ97" s="975" t="s">
        <v>819</v>
      </c>
      <c r="EIK97" s="975" t="s">
        <v>819</v>
      </c>
      <c r="EIL97" s="975" t="s">
        <v>819</v>
      </c>
      <c r="EIM97" s="975" t="s">
        <v>819</v>
      </c>
      <c r="EIN97" s="975" t="s">
        <v>819</v>
      </c>
      <c r="EIO97" s="975" t="s">
        <v>819</v>
      </c>
      <c r="EIP97" s="975" t="s">
        <v>819</v>
      </c>
      <c r="EIQ97" s="975" t="s">
        <v>819</v>
      </c>
      <c r="EIR97" s="975" t="s">
        <v>819</v>
      </c>
      <c r="EIS97" s="975" t="s">
        <v>819</v>
      </c>
      <c r="EIT97" s="975" t="s">
        <v>819</v>
      </c>
      <c r="EIU97" s="975" t="s">
        <v>819</v>
      </c>
      <c r="EIV97" s="975" t="s">
        <v>819</v>
      </c>
      <c r="EIW97" s="975" t="s">
        <v>819</v>
      </c>
      <c r="EIX97" s="975" t="s">
        <v>819</v>
      </c>
      <c r="EIY97" s="975" t="s">
        <v>819</v>
      </c>
      <c r="EIZ97" s="975" t="s">
        <v>819</v>
      </c>
      <c r="EJA97" s="975" t="s">
        <v>819</v>
      </c>
      <c r="EJB97" s="975" t="s">
        <v>819</v>
      </c>
      <c r="EJC97" s="975" t="s">
        <v>819</v>
      </c>
      <c r="EJD97" s="975" t="s">
        <v>819</v>
      </c>
      <c r="EJE97" s="975" t="s">
        <v>819</v>
      </c>
      <c r="EJF97" s="975" t="s">
        <v>819</v>
      </c>
      <c r="EJG97" s="975" t="s">
        <v>819</v>
      </c>
      <c r="EJH97" s="975" t="s">
        <v>819</v>
      </c>
      <c r="EJI97" s="975" t="s">
        <v>819</v>
      </c>
      <c r="EJJ97" s="975" t="s">
        <v>819</v>
      </c>
      <c r="EJK97" s="975" t="s">
        <v>819</v>
      </c>
      <c r="EJL97" s="975" t="s">
        <v>819</v>
      </c>
      <c r="EJM97" s="975" t="s">
        <v>819</v>
      </c>
      <c r="EJN97" s="975" t="s">
        <v>819</v>
      </c>
      <c r="EJO97" s="975" t="s">
        <v>819</v>
      </c>
      <c r="EJP97" s="975" t="s">
        <v>819</v>
      </c>
      <c r="EJQ97" s="975" t="s">
        <v>819</v>
      </c>
      <c r="EJR97" s="975" t="s">
        <v>819</v>
      </c>
      <c r="EJS97" s="975" t="s">
        <v>819</v>
      </c>
      <c r="EJT97" s="975" t="s">
        <v>819</v>
      </c>
      <c r="EJU97" s="975" t="s">
        <v>819</v>
      </c>
      <c r="EJV97" s="975" t="s">
        <v>819</v>
      </c>
      <c r="EJW97" s="975" t="s">
        <v>819</v>
      </c>
      <c r="EJX97" s="975" t="s">
        <v>819</v>
      </c>
      <c r="EJY97" s="975" t="s">
        <v>819</v>
      </c>
      <c r="EJZ97" s="975" t="s">
        <v>819</v>
      </c>
      <c r="EKA97" s="975" t="s">
        <v>819</v>
      </c>
      <c r="EKB97" s="975" t="s">
        <v>819</v>
      </c>
      <c r="EKC97" s="975" t="s">
        <v>819</v>
      </c>
      <c r="EKD97" s="975" t="s">
        <v>819</v>
      </c>
      <c r="EKE97" s="975" t="s">
        <v>819</v>
      </c>
      <c r="EKF97" s="975" t="s">
        <v>819</v>
      </c>
      <c r="EKG97" s="975" t="s">
        <v>819</v>
      </c>
      <c r="EKH97" s="975" t="s">
        <v>819</v>
      </c>
      <c r="EKI97" s="975" t="s">
        <v>819</v>
      </c>
      <c r="EKJ97" s="975" t="s">
        <v>819</v>
      </c>
      <c r="EKK97" s="975" t="s">
        <v>819</v>
      </c>
      <c r="EKL97" s="975" t="s">
        <v>819</v>
      </c>
      <c r="EKM97" s="975" t="s">
        <v>819</v>
      </c>
      <c r="EKN97" s="975" t="s">
        <v>819</v>
      </c>
      <c r="EKO97" s="975" t="s">
        <v>819</v>
      </c>
      <c r="EKP97" s="975" t="s">
        <v>819</v>
      </c>
      <c r="EKQ97" s="975" t="s">
        <v>819</v>
      </c>
      <c r="EKR97" s="975" t="s">
        <v>819</v>
      </c>
      <c r="EKS97" s="975" t="s">
        <v>819</v>
      </c>
      <c r="EKT97" s="975" t="s">
        <v>819</v>
      </c>
      <c r="EKU97" s="975" t="s">
        <v>819</v>
      </c>
      <c r="EKV97" s="975" t="s">
        <v>819</v>
      </c>
      <c r="EKW97" s="975" t="s">
        <v>819</v>
      </c>
      <c r="EKX97" s="975" t="s">
        <v>819</v>
      </c>
      <c r="EKY97" s="975" t="s">
        <v>819</v>
      </c>
      <c r="EKZ97" s="975" t="s">
        <v>819</v>
      </c>
      <c r="ELA97" s="975" t="s">
        <v>819</v>
      </c>
      <c r="ELB97" s="975" t="s">
        <v>819</v>
      </c>
      <c r="ELC97" s="975" t="s">
        <v>819</v>
      </c>
      <c r="ELD97" s="975" t="s">
        <v>819</v>
      </c>
      <c r="ELE97" s="975" t="s">
        <v>819</v>
      </c>
      <c r="ELF97" s="975" t="s">
        <v>819</v>
      </c>
      <c r="ELG97" s="975" t="s">
        <v>819</v>
      </c>
      <c r="ELH97" s="975" t="s">
        <v>819</v>
      </c>
      <c r="ELI97" s="975" t="s">
        <v>819</v>
      </c>
      <c r="ELJ97" s="975" t="s">
        <v>819</v>
      </c>
      <c r="ELK97" s="975" t="s">
        <v>819</v>
      </c>
      <c r="ELL97" s="975" t="s">
        <v>819</v>
      </c>
      <c r="ELM97" s="975" t="s">
        <v>819</v>
      </c>
      <c r="ELN97" s="975" t="s">
        <v>819</v>
      </c>
      <c r="ELO97" s="975" t="s">
        <v>819</v>
      </c>
      <c r="ELP97" s="975" t="s">
        <v>819</v>
      </c>
      <c r="ELQ97" s="975" t="s">
        <v>819</v>
      </c>
      <c r="ELR97" s="975" t="s">
        <v>819</v>
      </c>
      <c r="ELS97" s="975" t="s">
        <v>819</v>
      </c>
      <c r="ELT97" s="975" t="s">
        <v>819</v>
      </c>
      <c r="ELU97" s="975" t="s">
        <v>819</v>
      </c>
      <c r="ELV97" s="975" t="s">
        <v>819</v>
      </c>
      <c r="ELW97" s="975" t="s">
        <v>819</v>
      </c>
      <c r="ELX97" s="975" t="s">
        <v>819</v>
      </c>
      <c r="ELY97" s="975" t="s">
        <v>819</v>
      </c>
      <c r="ELZ97" s="975" t="s">
        <v>819</v>
      </c>
      <c r="EMA97" s="975" t="s">
        <v>819</v>
      </c>
      <c r="EMB97" s="975" t="s">
        <v>819</v>
      </c>
      <c r="EMC97" s="975" t="s">
        <v>819</v>
      </c>
      <c r="EMD97" s="975" t="s">
        <v>819</v>
      </c>
      <c r="EME97" s="975" t="s">
        <v>819</v>
      </c>
      <c r="EMF97" s="975" t="s">
        <v>819</v>
      </c>
      <c r="EMG97" s="975" t="s">
        <v>819</v>
      </c>
      <c r="EMH97" s="975" t="s">
        <v>819</v>
      </c>
      <c r="EMI97" s="975" t="s">
        <v>819</v>
      </c>
      <c r="EMJ97" s="975" t="s">
        <v>819</v>
      </c>
      <c r="EMK97" s="975" t="s">
        <v>819</v>
      </c>
      <c r="EML97" s="975" t="s">
        <v>819</v>
      </c>
      <c r="EMM97" s="975" t="s">
        <v>819</v>
      </c>
      <c r="EMN97" s="975" t="s">
        <v>819</v>
      </c>
      <c r="EMO97" s="975" t="s">
        <v>819</v>
      </c>
      <c r="EMP97" s="975" t="s">
        <v>819</v>
      </c>
      <c r="EMQ97" s="975" t="s">
        <v>819</v>
      </c>
      <c r="EMR97" s="975" t="s">
        <v>819</v>
      </c>
      <c r="EMS97" s="975" t="s">
        <v>819</v>
      </c>
      <c r="EMT97" s="975" t="s">
        <v>819</v>
      </c>
      <c r="EMU97" s="975" t="s">
        <v>819</v>
      </c>
      <c r="EMV97" s="975" t="s">
        <v>819</v>
      </c>
      <c r="EMW97" s="975" t="s">
        <v>819</v>
      </c>
      <c r="EMX97" s="975" t="s">
        <v>819</v>
      </c>
      <c r="EMY97" s="975" t="s">
        <v>819</v>
      </c>
      <c r="EMZ97" s="975" t="s">
        <v>819</v>
      </c>
      <c r="ENA97" s="975" t="s">
        <v>819</v>
      </c>
      <c r="ENB97" s="975" t="s">
        <v>819</v>
      </c>
      <c r="ENC97" s="975" t="s">
        <v>819</v>
      </c>
      <c r="END97" s="975" t="s">
        <v>819</v>
      </c>
      <c r="ENE97" s="975" t="s">
        <v>819</v>
      </c>
      <c r="ENF97" s="975" t="s">
        <v>819</v>
      </c>
      <c r="ENG97" s="975" t="s">
        <v>819</v>
      </c>
      <c r="ENH97" s="975" t="s">
        <v>819</v>
      </c>
      <c r="ENI97" s="975" t="s">
        <v>819</v>
      </c>
      <c r="ENJ97" s="975" t="s">
        <v>819</v>
      </c>
      <c r="ENK97" s="975" t="s">
        <v>819</v>
      </c>
      <c r="ENL97" s="975" t="s">
        <v>819</v>
      </c>
      <c r="ENM97" s="975" t="s">
        <v>819</v>
      </c>
      <c r="ENN97" s="975" t="s">
        <v>819</v>
      </c>
      <c r="ENO97" s="975" t="s">
        <v>819</v>
      </c>
      <c r="ENP97" s="975" t="s">
        <v>819</v>
      </c>
      <c r="ENQ97" s="975" t="s">
        <v>819</v>
      </c>
      <c r="ENR97" s="975" t="s">
        <v>819</v>
      </c>
      <c r="ENS97" s="975" t="s">
        <v>819</v>
      </c>
      <c r="ENT97" s="975" t="s">
        <v>819</v>
      </c>
      <c r="ENU97" s="975" t="s">
        <v>819</v>
      </c>
      <c r="ENV97" s="975" t="s">
        <v>819</v>
      </c>
      <c r="ENW97" s="975" t="s">
        <v>819</v>
      </c>
      <c r="ENX97" s="975" t="s">
        <v>819</v>
      </c>
      <c r="ENY97" s="975" t="s">
        <v>819</v>
      </c>
      <c r="ENZ97" s="975" t="s">
        <v>819</v>
      </c>
      <c r="EOA97" s="975" t="s">
        <v>819</v>
      </c>
      <c r="EOB97" s="975" t="s">
        <v>819</v>
      </c>
      <c r="EOC97" s="975" t="s">
        <v>819</v>
      </c>
      <c r="EOD97" s="975" t="s">
        <v>819</v>
      </c>
      <c r="EOE97" s="975" t="s">
        <v>819</v>
      </c>
      <c r="EOF97" s="975" t="s">
        <v>819</v>
      </c>
      <c r="EOG97" s="975" t="s">
        <v>819</v>
      </c>
      <c r="EOH97" s="975" t="s">
        <v>819</v>
      </c>
      <c r="EOI97" s="975" t="s">
        <v>819</v>
      </c>
      <c r="EOJ97" s="975" t="s">
        <v>819</v>
      </c>
      <c r="EOK97" s="975" t="s">
        <v>819</v>
      </c>
      <c r="EOL97" s="975" t="s">
        <v>819</v>
      </c>
      <c r="EOM97" s="975" t="s">
        <v>819</v>
      </c>
      <c r="EON97" s="975" t="s">
        <v>819</v>
      </c>
      <c r="EOO97" s="975" t="s">
        <v>819</v>
      </c>
      <c r="EOP97" s="975" t="s">
        <v>819</v>
      </c>
      <c r="EOQ97" s="975" t="s">
        <v>819</v>
      </c>
      <c r="EOR97" s="975" t="s">
        <v>819</v>
      </c>
      <c r="EOS97" s="975" t="s">
        <v>819</v>
      </c>
      <c r="EOT97" s="975" t="s">
        <v>819</v>
      </c>
      <c r="EOU97" s="975" t="s">
        <v>819</v>
      </c>
      <c r="EOV97" s="975" t="s">
        <v>819</v>
      </c>
      <c r="EOW97" s="975" t="s">
        <v>819</v>
      </c>
      <c r="EOX97" s="975" t="s">
        <v>819</v>
      </c>
      <c r="EOY97" s="975" t="s">
        <v>819</v>
      </c>
      <c r="EOZ97" s="975" t="s">
        <v>819</v>
      </c>
      <c r="EPA97" s="975" t="s">
        <v>819</v>
      </c>
      <c r="EPB97" s="975" t="s">
        <v>819</v>
      </c>
      <c r="EPC97" s="975" t="s">
        <v>819</v>
      </c>
      <c r="EPD97" s="975" t="s">
        <v>819</v>
      </c>
      <c r="EPE97" s="975" t="s">
        <v>819</v>
      </c>
      <c r="EPF97" s="975" t="s">
        <v>819</v>
      </c>
      <c r="EPG97" s="975" t="s">
        <v>819</v>
      </c>
      <c r="EPH97" s="975" t="s">
        <v>819</v>
      </c>
      <c r="EPI97" s="975" t="s">
        <v>819</v>
      </c>
      <c r="EPJ97" s="975" t="s">
        <v>819</v>
      </c>
      <c r="EPK97" s="975" t="s">
        <v>819</v>
      </c>
      <c r="EPL97" s="975" t="s">
        <v>819</v>
      </c>
      <c r="EPM97" s="975" t="s">
        <v>819</v>
      </c>
      <c r="EPN97" s="975" t="s">
        <v>819</v>
      </c>
      <c r="EPO97" s="975" t="s">
        <v>819</v>
      </c>
      <c r="EPP97" s="975" t="s">
        <v>819</v>
      </c>
      <c r="EPQ97" s="975" t="s">
        <v>819</v>
      </c>
      <c r="EPR97" s="975" t="s">
        <v>819</v>
      </c>
      <c r="EPS97" s="975" t="s">
        <v>819</v>
      </c>
      <c r="EPT97" s="975" t="s">
        <v>819</v>
      </c>
      <c r="EPU97" s="975" t="s">
        <v>819</v>
      </c>
      <c r="EPV97" s="975" t="s">
        <v>819</v>
      </c>
      <c r="EPW97" s="975" t="s">
        <v>819</v>
      </c>
      <c r="EPX97" s="975" t="s">
        <v>819</v>
      </c>
      <c r="EPY97" s="975" t="s">
        <v>819</v>
      </c>
      <c r="EPZ97" s="975" t="s">
        <v>819</v>
      </c>
      <c r="EQA97" s="975" t="s">
        <v>819</v>
      </c>
      <c r="EQB97" s="975" t="s">
        <v>819</v>
      </c>
      <c r="EQC97" s="975" t="s">
        <v>819</v>
      </c>
      <c r="EQD97" s="975" t="s">
        <v>819</v>
      </c>
      <c r="EQE97" s="975" t="s">
        <v>819</v>
      </c>
      <c r="EQF97" s="975" t="s">
        <v>819</v>
      </c>
      <c r="EQG97" s="975" t="s">
        <v>819</v>
      </c>
      <c r="EQH97" s="975" t="s">
        <v>819</v>
      </c>
      <c r="EQI97" s="975" t="s">
        <v>819</v>
      </c>
      <c r="EQJ97" s="975" t="s">
        <v>819</v>
      </c>
      <c r="EQK97" s="975" t="s">
        <v>819</v>
      </c>
      <c r="EQL97" s="975" t="s">
        <v>819</v>
      </c>
      <c r="EQM97" s="975" t="s">
        <v>819</v>
      </c>
      <c r="EQN97" s="975" t="s">
        <v>819</v>
      </c>
      <c r="EQO97" s="975" t="s">
        <v>819</v>
      </c>
      <c r="EQP97" s="975" t="s">
        <v>819</v>
      </c>
      <c r="EQQ97" s="975" t="s">
        <v>819</v>
      </c>
      <c r="EQR97" s="975" t="s">
        <v>819</v>
      </c>
      <c r="EQS97" s="975" t="s">
        <v>819</v>
      </c>
      <c r="EQT97" s="975" t="s">
        <v>819</v>
      </c>
      <c r="EQU97" s="975" t="s">
        <v>819</v>
      </c>
      <c r="EQV97" s="975" t="s">
        <v>819</v>
      </c>
      <c r="EQW97" s="975" t="s">
        <v>819</v>
      </c>
      <c r="EQX97" s="975" t="s">
        <v>819</v>
      </c>
      <c r="EQY97" s="975" t="s">
        <v>819</v>
      </c>
      <c r="EQZ97" s="975" t="s">
        <v>819</v>
      </c>
      <c r="ERA97" s="975" t="s">
        <v>819</v>
      </c>
      <c r="ERB97" s="975" t="s">
        <v>819</v>
      </c>
      <c r="ERC97" s="975" t="s">
        <v>819</v>
      </c>
      <c r="ERD97" s="975" t="s">
        <v>819</v>
      </c>
      <c r="ERE97" s="975" t="s">
        <v>819</v>
      </c>
      <c r="ERF97" s="975" t="s">
        <v>819</v>
      </c>
      <c r="ERG97" s="975" t="s">
        <v>819</v>
      </c>
      <c r="ERH97" s="975" t="s">
        <v>819</v>
      </c>
      <c r="ERI97" s="975" t="s">
        <v>819</v>
      </c>
      <c r="ERJ97" s="975" t="s">
        <v>819</v>
      </c>
      <c r="ERK97" s="975" t="s">
        <v>819</v>
      </c>
      <c r="ERL97" s="975" t="s">
        <v>819</v>
      </c>
      <c r="ERM97" s="975" t="s">
        <v>819</v>
      </c>
      <c r="ERN97" s="975" t="s">
        <v>819</v>
      </c>
      <c r="ERO97" s="975" t="s">
        <v>819</v>
      </c>
      <c r="ERP97" s="975" t="s">
        <v>819</v>
      </c>
      <c r="ERQ97" s="975" t="s">
        <v>819</v>
      </c>
      <c r="ERR97" s="975" t="s">
        <v>819</v>
      </c>
      <c r="ERS97" s="975" t="s">
        <v>819</v>
      </c>
      <c r="ERT97" s="975" t="s">
        <v>819</v>
      </c>
      <c r="ERU97" s="975" t="s">
        <v>819</v>
      </c>
      <c r="ERV97" s="975" t="s">
        <v>819</v>
      </c>
      <c r="ERW97" s="975" t="s">
        <v>819</v>
      </c>
      <c r="ERX97" s="975" t="s">
        <v>819</v>
      </c>
      <c r="ERY97" s="975" t="s">
        <v>819</v>
      </c>
      <c r="ERZ97" s="975" t="s">
        <v>819</v>
      </c>
      <c r="ESA97" s="975" t="s">
        <v>819</v>
      </c>
      <c r="ESB97" s="975" t="s">
        <v>819</v>
      </c>
      <c r="ESC97" s="975" t="s">
        <v>819</v>
      </c>
      <c r="ESD97" s="975" t="s">
        <v>819</v>
      </c>
      <c r="ESE97" s="975" t="s">
        <v>819</v>
      </c>
      <c r="ESF97" s="975" t="s">
        <v>819</v>
      </c>
      <c r="ESG97" s="975" t="s">
        <v>819</v>
      </c>
      <c r="ESH97" s="975" t="s">
        <v>819</v>
      </c>
      <c r="ESI97" s="975" t="s">
        <v>819</v>
      </c>
      <c r="ESJ97" s="975" t="s">
        <v>819</v>
      </c>
      <c r="ESK97" s="975" t="s">
        <v>819</v>
      </c>
      <c r="ESL97" s="975" t="s">
        <v>819</v>
      </c>
      <c r="ESM97" s="975" t="s">
        <v>819</v>
      </c>
      <c r="ESN97" s="975" t="s">
        <v>819</v>
      </c>
      <c r="ESO97" s="975" t="s">
        <v>819</v>
      </c>
      <c r="ESP97" s="975" t="s">
        <v>819</v>
      </c>
      <c r="ESQ97" s="975" t="s">
        <v>819</v>
      </c>
      <c r="ESR97" s="975" t="s">
        <v>819</v>
      </c>
      <c r="ESS97" s="975" t="s">
        <v>819</v>
      </c>
      <c r="EST97" s="975" t="s">
        <v>819</v>
      </c>
      <c r="ESU97" s="975" t="s">
        <v>819</v>
      </c>
      <c r="ESV97" s="975" t="s">
        <v>819</v>
      </c>
      <c r="ESW97" s="975" t="s">
        <v>819</v>
      </c>
      <c r="ESX97" s="975" t="s">
        <v>819</v>
      </c>
      <c r="ESY97" s="975" t="s">
        <v>819</v>
      </c>
      <c r="ESZ97" s="975" t="s">
        <v>819</v>
      </c>
      <c r="ETA97" s="975" t="s">
        <v>819</v>
      </c>
      <c r="ETB97" s="975" t="s">
        <v>819</v>
      </c>
      <c r="ETC97" s="975" t="s">
        <v>819</v>
      </c>
      <c r="ETD97" s="975" t="s">
        <v>819</v>
      </c>
      <c r="ETE97" s="975" t="s">
        <v>819</v>
      </c>
      <c r="ETF97" s="975" t="s">
        <v>819</v>
      </c>
      <c r="ETG97" s="975" t="s">
        <v>819</v>
      </c>
      <c r="ETH97" s="975" t="s">
        <v>819</v>
      </c>
      <c r="ETI97" s="975" t="s">
        <v>819</v>
      </c>
      <c r="ETJ97" s="975" t="s">
        <v>819</v>
      </c>
      <c r="ETK97" s="975" t="s">
        <v>819</v>
      </c>
      <c r="ETL97" s="975" t="s">
        <v>819</v>
      </c>
      <c r="ETM97" s="975" t="s">
        <v>819</v>
      </c>
      <c r="ETN97" s="975" t="s">
        <v>819</v>
      </c>
      <c r="ETO97" s="975" t="s">
        <v>819</v>
      </c>
      <c r="ETP97" s="975" t="s">
        <v>819</v>
      </c>
      <c r="ETQ97" s="975" t="s">
        <v>819</v>
      </c>
      <c r="ETR97" s="975" t="s">
        <v>819</v>
      </c>
      <c r="ETS97" s="975" t="s">
        <v>819</v>
      </c>
      <c r="ETT97" s="975" t="s">
        <v>819</v>
      </c>
      <c r="ETU97" s="975" t="s">
        <v>819</v>
      </c>
      <c r="ETV97" s="975" t="s">
        <v>819</v>
      </c>
      <c r="ETW97" s="975" t="s">
        <v>819</v>
      </c>
      <c r="ETX97" s="975" t="s">
        <v>819</v>
      </c>
      <c r="ETY97" s="975" t="s">
        <v>819</v>
      </c>
      <c r="ETZ97" s="975" t="s">
        <v>819</v>
      </c>
      <c r="EUA97" s="975" t="s">
        <v>819</v>
      </c>
      <c r="EUB97" s="975" t="s">
        <v>819</v>
      </c>
      <c r="EUC97" s="975" t="s">
        <v>819</v>
      </c>
      <c r="EUD97" s="975" t="s">
        <v>819</v>
      </c>
      <c r="EUE97" s="975" t="s">
        <v>819</v>
      </c>
      <c r="EUF97" s="975" t="s">
        <v>819</v>
      </c>
      <c r="EUG97" s="975" t="s">
        <v>819</v>
      </c>
      <c r="EUH97" s="975" t="s">
        <v>819</v>
      </c>
      <c r="EUI97" s="975" t="s">
        <v>819</v>
      </c>
      <c r="EUJ97" s="975" t="s">
        <v>819</v>
      </c>
      <c r="EUK97" s="975" t="s">
        <v>819</v>
      </c>
      <c r="EUL97" s="975" t="s">
        <v>819</v>
      </c>
      <c r="EUM97" s="975" t="s">
        <v>819</v>
      </c>
      <c r="EUN97" s="975" t="s">
        <v>819</v>
      </c>
      <c r="EUO97" s="975" t="s">
        <v>819</v>
      </c>
      <c r="EUP97" s="975" t="s">
        <v>819</v>
      </c>
      <c r="EUQ97" s="975" t="s">
        <v>819</v>
      </c>
      <c r="EUR97" s="975" t="s">
        <v>819</v>
      </c>
      <c r="EUS97" s="975" t="s">
        <v>819</v>
      </c>
      <c r="EUT97" s="975" t="s">
        <v>819</v>
      </c>
      <c r="EUU97" s="975" t="s">
        <v>819</v>
      </c>
      <c r="EUV97" s="975" t="s">
        <v>819</v>
      </c>
      <c r="EUW97" s="975" t="s">
        <v>819</v>
      </c>
      <c r="EUX97" s="975" t="s">
        <v>819</v>
      </c>
      <c r="EUY97" s="975" t="s">
        <v>819</v>
      </c>
      <c r="EUZ97" s="975" t="s">
        <v>819</v>
      </c>
      <c r="EVA97" s="975" t="s">
        <v>819</v>
      </c>
      <c r="EVB97" s="975" t="s">
        <v>819</v>
      </c>
      <c r="EVC97" s="975" t="s">
        <v>819</v>
      </c>
      <c r="EVD97" s="975" t="s">
        <v>819</v>
      </c>
      <c r="EVE97" s="975" t="s">
        <v>819</v>
      </c>
      <c r="EVF97" s="975" t="s">
        <v>819</v>
      </c>
      <c r="EVG97" s="975" t="s">
        <v>819</v>
      </c>
      <c r="EVH97" s="975" t="s">
        <v>819</v>
      </c>
      <c r="EVI97" s="975" t="s">
        <v>819</v>
      </c>
      <c r="EVJ97" s="975" t="s">
        <v>819</v>
      </c>
      <c r="EVK97" s="975" t="s">
        <v>819</v>
      </c>
      <c r="EVL97" s="975" t="s">
        <v>819</v>
      </c>
      <c r="EVM97" s="975" t="s">
        <v>819</v>
      </c>
      <c r="EVN97" s="975" t="s">
        <v>819</v>
      </c>
      <c r="EVO97" s="975" t="s">
        <v>819</v>
      </c>
      <c r="EVP97" s="975" t="s">
        <v>819</v>
      </c>
      <c r="EVQ97" s="975" t="s">
        <v>819</v>
      </c>
      <c r="EVR97" s="975" t="s">
        <v>819</v>
      </c>
      <c r="EVS97" s="975" t="s">
        <v>819</v>
      </c>
      <c r="EVT97" s="975" t="s">
        <v>819</v>
      </c>
      <c r="EVU97" s="975" t="s">
        <v>819</v>
      </c>
      <c r="EVV97" s="975" t="s">
        <v>819</v>
      </c>
      <c r="EVW97" s="975" t="s">
        <v>819</v>
      </c>
      <c r="EVX97" s="975" t="s">
        <v>819</v>
      </c>
      <c r="EVY97" s="975" t="s">
        <v>819</v>
      </c>
      <c r="EVZ97" s="975" t="s">
        <v>819</v>
      </c>
      <c r="EWA97" s="975" t="s">
        <v>819</v>
      </c>
      <c r="EWB97" s="975" t="s">
        <v>819</v>
      </c>
      <c r="EWC97" s="975" t="s">
        <v>819</v>
      </c>
      <c r="EWD97" s="975" t="s">
        <v>819</v>
      </c>
      <c r="EWE97" s="975" t="s">
        <v>819</v>
      </c>
      <c r="EWF97" s="975" t="s">
        <v>819</v>
      </c>
      <c r="EWG97" s="975" t="s">
        <v>819</v>
      </c>
      <c r="EWH97" s="975" t="s">
        <v>819</v>
      </c>
      <c r="EWI97" s="975" t="s">
        <v>819</v>
      </c>
      <c r="EWJ97" s="975" t="s">
        <v>819</v>
      </c>
      <c r="EWK97" s="975" t="s">
        <v>819</v>
      </c>
      <c r="EWL97" s="975" t="s">
        <v>819</v>
      </c>
      <c r="EWM97" s="975" t="s">
        <v>819</v>
      </c>
      <c r="EWN97" s="975" t="s">
        <v>819</v>
      </c>
      <c r="EWO97" s="975" t="s">
        <v>819</v>
      </c>
      <c r="EWP97" s="975" t="s">
        <v>819</v>
      </c>
      <c r="EWQ97" s="975" t="s">
        <v>819</v>
      </c>
      <c r="EWR97" s="975" t="s">
        <v>819</v>
      </c>
      <c r="EWS97" s="975" t="s">
        <v>819</v>
      </c>
      <c r="EWT97" s="975" t="s">
        <v>819</v>
      </c>
      <c r="EWU97" s="975" t="s">
        <v>819</v>
      </c>
      <c r="EWV97" s="975" t="s">
        <v>819</v>
      </c>
      <c r="EWW97" s="975" t="s">
        <v>819</v>
      </c>
      <c r="EWX97" s="975" t="s">
        <v>819</v>
      </c>
      <c r="EWY97" s="975" t="s">
        <v>819</v>
      </c>
      <c r="EWZ97" s="975" t="s">
        <v>819</v>
      </c>
      <c r="EXA97" s="975" t="s">
        <v>819</v>
      </c>
      <c r="EXB97" s="975" t="s">
        <v>819</v>
      </c>
      <c r="EXC97" s="975" t="s">
        <v>819</v>
      </c>
      <c r="EXD97" s="975" t="s">
        <v>819</v>
      </c>
      <c r="EXE97" s="975" t="s">
        <v>819</v>
      </c>
      <c r="EXF97" s="975" t="s">
        <v>819</v>
      </c>
      <c r="EXG97" s="975" t="s">
        <v>819</v>
      </c>
      <c r="EXH97" s="975" t="s">
        <v>819</v>
      </c>
      <c r="EXI97" s="975" t="s">
        <v>819</v>
      </c>
      <c r="EXJ97" s="975" t="s">
        <v>819</v>
      </c>
      <c r="EXK97" s="975" t="s">
        <v>819</v>
      </c>
      <c r="EXL97" s="975" t="s">
        <v>819</v>
      </c>
      <c r="EXM97" s="975" t="s">
        <v>819</v>
      </c>
      <c r="EXN97" s="975" t="s">
        <v>819</v>
      </c>
      <c r="EXO97" s="975" t="s">
        <v>819</v>
      </c>
      <c r="EXP97" s="975" t="s">
        <v>819</v>
      </c>
      <c r="EXQ97" s="975" t="s">
        <v>819</v>
      </c>
      <c r="EXR97" s="975" t="s">
        <v>819</v>
      </c>
      <c r="EXS97" s="975" t="s">
        <v>819</v>
      </c>
      <c r="EXT97" s="975" t="s">
        <v>819</v>
      </c>
      <c r="EXU97" s="975" t="s">
        <v>819</v>
      </c>
      <c r="EXV97" s="975" t="s">
        <v>819</v>
      </c>
      <c r="EXW97" s="975" t="s">
        <v>819</v>
      </c>
      <c r="EXX97" s="975" t="s">
        <v>819</v>
      </c>
      <c r="EXY97" s="975" t="s">
        <v>819</v>
      </c>
      <c r="EXZ97" s="975" t="s">
        <v>819</v>
      </c>
      <c r="EYA97" s="975" t="s">
        <v>819</v>
      </c>
      <c r="EYB97" s="975" t="s">
        <v>819</v>
      </c>
      <c r="EYC97" s="975" t="s">
        <v>819</v>
      </c>
      <c r="EYD97" s="975" t="s">
        <v>819</v>
      </c>
      <c r="EYE97" s="975" t="s">
        <v>819</v>
      </c>
      <c r="EYF97" s="975" t="s">
        <v>819</v>
      </c>
      <c r="EYG97" s="975" t="s">
        <v>819</v>
      </c>
      <c r="EYH97" s="975" t="s">
        <v>819</v>
      </c>
      <c r="EYI97" s="975" t="s">
        <v>819</v>
      </c>
      <c r="EYJ97" s="975" t="s">
        <v>819</v>
      </c>
      <c r="EYK97" s="975" t="s">
        <v>819</v>
      </c>
      <c r="EYL97" s="975" t="s">
        <v>819</v>
      </c>
      <c r="EYM97" s="975" t="s">
        <v>819</v>
      </c>
      <c r="EYN97" s="975" t="s">
        <v>819</v>
      </c>
      <c r="EYO97" s="975" t="s">
        <v>819</v>
      </c>
      <c r="EYP97" s="975" t="s">
        <v>819</v>
      </c>
      <c r="EYQ97" s="975" t="s">
        <v>819</v>
      </c>
      <c r="EYR97" s="975" t="s">
        <v>819</v>
      </c>
      <c r="EYS97" s="975" t="s">
        <v>819</v>
      </c>
      <c r="EYT97" s="975" t="s">
        <v>819</v>
      </c>
      <c r="EYU97" s="975" t="s">
        <v>819</v>
      </c>
      <c r="EYV97" s="975" t="s">
        <v>819</v>
      </c>
      <c r="EYW97" s="975" t="s">
        <v>819</v>
      </c>
      <c r="EYX97" s="975" t="s">
        <v>819</v>
      </c>
      <c r="EYY97" s="975" t="s">
        <v>819</v>
      </c>
      <c r="EYZ97" s="975" t="s">
        <v>819</v>
      </c>
      <c r="EZA97" s="975" t="s">
        <v>819</v>
      </c>
      <c r="EZB97" s="975" t="s">
        <v>819</v>
      </c>
      <c r="EZC97" s="975" t="s">
        <v>819</v>
      </c>
      <c r="EZD97" s="975" t="s">
        <v>819</v>
      </c>
      <c r="EZE97" s="975" t="s">
        <v>819</v>
      </c>
      <c r="EZF97" s="975" t="s">
        <v>819</v>
      </c>
      <c r="EZG97" s="975" t="s">
        <v>819</v>
      </c>
      <c r="EZH97" s="975" t="s">
        <v>819</v>
      </c>
      <c r="EZI97" s="975" t="s">
        <v>819</v>
      </c>
      <c r="EZJ97" s="975" t="s">
        <v>819</v>
      </c>
      <c r="EZK97" s="975" t="s">
        <v>819</v>
      </c>
      <c r="EZL97" s="975" t="s">
        <v>819</v>
      </c>
      <c r="EZM97" s="975" t="s">
        <v>819</v>
      </c>
      <c r="EZN97" s="975" t="s">
        <v>819</v>
      </c>
      <c r="EZO97" s="975" t="s">
        <v>819</v>
      </c>
      <c r="EZP97" s="975" t="s">
        <v>819</v>
      </c>
      <c r="EZQ97" s="975" t="s">
        <v>819</v>
      </c>
      <c r="EZR97" s="975" t="s">
        <v>819</v>
      </c>
      <c r="EZS97" s="975" t="s">
        <v>819</v>
      </c>
      <c r="EZT97" s="975" t="s">
        <v>819</v>
      </c>
      <c r="EZU97" s="975" t="s">
        <v>819</v>
      </c>
      <c r="EZV97" s="975" t="s">
        <v>819</v>
      </c>
      <c r="EZW97" s="975" t="s">
        <v>819</v>
      </c>
      <c r="EZX97" s="975" t="s">
        <v>819</v>
      </c>
      <c r="EZY97" s="975" t="s">
        <v>819</v>
      </c>
      <c r="EZZ97" s="975" t="s">
        <v>819</v>
      </c>
      <c r="FAA97" s="975" t="s">
        <v>819</v>
      </c>
      <c r="FAB97" s="975" t="s">
        <v>819</v>
      </c>
      <c r="FAC97" s="975" t="s">
        <v>819</v>
      </c>
      <c r="FAD97" s="975" t="s">
        <v>819</v>
      </c>
      <c r="FAE97" s="975" t="s">
        <v>819</v>
      </c>
      <c r="FAF97" s="975" t="s">
        <v>819</v>
      </c>
      <c r="FAG97" s="975" t="s">
        <v>819</v>
      </c>
      <c r="FAH97" s="975" t="s">
        <v>819</v>
      </c>
      <c r="FAI97" s="975" t="s">
        <v>819</v>
      </c>
      <c r="FAJ97" s="975" t="s">
        <v>819</v>
      </c>
      <c r="FAK97" s="975" t="s">
        <v>819</v>
      </c>
      <c r="FAL97" s="975" t="s">
        <v>819</v>
      </c>
      <c r="FAM97" s="975" t="s">
        <v>819</v>
      </c>
      <c r="FAN97" s="975" t="s">
        <v>819</v>
      </c>
      <c r="FAO97" s="975" t="s">
        <v>819</v>
      </c>
      <c r="FAP97" s="975" t="s">
        <v>819</v>
      </c>
      <c r="FAQ97" s="975" t="s">
        <v>819</v>
      </c>
      <c r="FAR97" s="975" t="s">
        <v>819</v>
      </c>
      <c r="FAS97" s="975" t="s">
        <v>819</v>
      </c>
      <c r="FAT97" s="975" t="s">
        <v>819</v>
      </c>
      <c r="FAU97" s="975" t="s">
        <v>819</v>
      </c>
      <c r="FAV97" s="975" t="s">
        <v>819</v>
      </c>
      <c r="FAW97" s="975" t="s">
        <v>819</v>
      </c>
      <c r="FAX97" s="975" t="s">
        <v>819</v>
      </c>
      <c r="FAY97" s="975" t="s">
        <v>819</v>
      </c>
      <c r="FAZ97" s="975" t="s">
        <v>819</v>
      </c>
      <c r="FBA97" s="975" t="s">
        <v>819</v>
      </c>
      <c r="FBB97" s="975" t="s">
        <v>819</v>
      </c>
      <c r="FBC97" s="975" t="s">
        <v>819</v>
      </c>
      <c r="FBD97" s="975" t="s">
        <v>819</v>
      </c>
      <c r="FBE97" s="975" t="s">
        <v>819</v>
      </c>
      <c r="FBF97" s="975" t="s">
        <v>819</v>
      </c>
      <c r="FBG97" s="975" t="s">
        <v>819</v>
      </c>
      <c r="FBH97" s="975" t="s">
        <v>819</v>
      </c>
      <c r="FBI97" s="975" t="s">
        <v>819</v>
      </c>
      <c r="FBJ97" s="975" t="s">
        <v>819</v>
      </c>
      <c r="FBK97" s="975" t="s">
        <v>819</v>
      </c>
      <c r="FBL97" s="975" t="s">
        <v>819</v>
      </c>
      <c r="FBM97" s="975" t="s">
        <v>819</v>
      </c>
      <c r="FBN97" s="975" t="s">
        <v>819</v>
      </c>
      <c r="FBO97" s="975" t="s">
        <v>819</v>
      </c>
      <c r="FBP97" s="975" t="s">
        <v>819</v>
      </c>
      <c r="FBQ97" s="975" t="s">
        <v>819</v>
      </c>
      <c r="FBR97" s="975" t="s">
        <v>819</v>
      </c>
      <c r="FBS97" s="975" t="s">
        <v>819</v>
      </c>
      <c r="FBT97" s="975" t="s">
        <v>819</v>
      </c>
      <c r="FBU97" s="975" t="s">
        <v>819</v>
      </c>
      <c r="FBV97" s="975" t="s">
        <v>819</v>
      </c>
      <c r="FBW97" s="975" t="s">
        <v>819</v>
      </c>
      <c r="FBX97" s="975" t="s">
        <v>819</v>
      </c>
      <c r="FBY97" s="975" t="s">
        <v>819</v>
      </c>
      <c r="FBZ97" s="975" t="s">
        <v>819</v>
      </c>
      <c r="FCA97" s="975" t="s">
        <v>819</v>
      </c>
      <c r="FCB97" s="975" t="s">
        <v>819</v>
      </c>
      <c r="FCC97" s="975" t="s">
        <v>819</v>
      </c>
      <c r="FCD97" s="975" t="s">
        <v>819</v>
      </c>
      <c r="FCE97" s="975" t="s">
        <v>819</v>
      </c>
      <c r="FCF97" s="975" t="s">
        <v>819</v>
      </c>
      <c r="FCG97" s="975" t="s">
        <v>819</v>
      </c>
      <c r="FCH97" s="975" t="s">
        <v>819</v>
      </c>
      <c r="FCI97" s="975" t="s">
        <v>819</v>
      </c>
      <c r="FCJ97" s="975" t="s">
        <v>819</v>
      </c>
      <c r="FCK97" s="975" t="s">
        <v>819</v>
      </c>
      <c r="FCL97" s="975" t="s">
        <v>819</v>
      </c>
      <c r="FCM97" s="975" t="s">
        <v>819</v>
      </c>
      <c r="FCN97" s="975" t="s">
        <v>819</v>
      </c>
      <c r="FCO97" s="975" t="s">
        <v>819</v>
      </c>
      <c r="FCP97" s="975" t="s">
        <v>819</v>
      </c>
      <c r="FCQ97" s="975" t="s">
        <v>819</v>
      </c>
      <c r="FCR97" s="975" t="s">
        <v>819</v>
      </c>
      <c r="FCS97" s="975" t="s">
        <v>819</v>
      </c>
      <c r="FCT97" s="975" t="s">
        <v>819</v>
      </c>
      <c r="FCU97" s="975" t="s">
        <v>819</v>
      </c>
      <c r="FCV97" s="975" t="s">
        <v>819</v>
      </c>
      <c r="FCW97" s="975" t="s">
        <v>819</v>
      </c>
      <c r="FCX97" s="975" t="s">
        <v>819</v>
      </c>
      <c r="FCY97" s="975" t="s">
        <v>819</v>
      </c>
      <c r="FCZ97" s="975" t="s">
        <v>819</v>
      </c>
      <c r="FDA97" s="975" t="s">
        <v>819</v>
      </c>
      <c r="FDB97" s="975" t="s">
        <v>819</v>
      </c>
      <c r="FDC97" s="975" t="s">
        <v>819</v>
      </c>
      <c r="FDD97" s="975" t="s">
        <v>819</v>
      </c>
      <c r="FDE97" s="975" t="s">
        <v>819</v>
      </c>
      <c r="FDF97" s="975" t="s">
        <v>819</v>
      </c>
      <c r="FDG97" s="975" t="s">
        <v>819</v>
      </c>
      <c r="FDH97" s="975" t="s">
        <v>819</v>
      </c>
      <c r="FDI97" s="975" t="s">
        <v>819</v>
      </c>
      <c r="FDJ97" s="975" t="s">
        <v>819</v>
      </c>
      <c r="FDK97" s="975" t="s">
        <v>819</v>
      </c>
      <c r="FDL97" s="975" t="s">
        <v>819</v>
      </c>
      <c r="FDM97" s="975" t="s">
        <v>819</v>
      </c>
      <c r="FDN97" s="975" t="s">
        <v>819</v>
      </c>
      <c r="FDO97" s="975" t="s">
        <v>819</v>
      </c>
      <c r="FDP97" s="975" t="s">
        <v>819</v>
      </c>
      <c r="FDQ97" s="975" t="s">
        <v>819</v>
      </c>
      <c r="FDR97" s="975" t="s">
        <v>819</v>
      </c>
      <c r="FDS97" s="975" t="s">
        <v>819</v>
      </c>
      <c r="FDT97" s="975" t="s">
        <v>819</v>
      </c>
      <c r="FDU97" s="975" t="s">
        <v>819</v>
      </c>
      <c r="FDV97" s="975" t="s">
        <v>819</v>
      </c>
      <c r="FDW97" s="975" t="s">
        <v>819</v>
      </c>
      <c r="FDX97" s="975" t="s">
        <v>819</v>
      </c>
      <c r="FDY97" s="975" t="s">
        <v>819</v>
      </c>
      <c r="FDZ97" s="975" t="s">
        <v>819</v>
      </c>
      <c r="FEA97" s="975" t="s">
        <v>819</v>
      </c>
      <c r="FEB97" s="975" t="s">
        <v>819</v>
      </c>
      <c r="FEC97" s="975" t="s">
        <v>819</v>
      </c>
      <c r="FED97" s="975" t="s">
        <v>819</v>
      </c>
      <c r="FEE97" s="975" t="s">
        <v>819</v>
      </c>
      <c r="FEF97" s="975" t="s">
        <v>819</v>
      </c>
      <c r="FEG97" s="975" t="s">
        <v>819</v>
      </c>
      <c r="FEH97" s="975" t="s">
        <v>819</v>
      </c>
      <c r="FEI97" s="975" t="s">
        <v>819</v>
      </c>
      <c r="FEJ97" s="975" t="s">
        <v>819</v>
      </c>
      <c r="FEK97" s="975" t="s">
        <v>819</v>
      </c>
      <c r="FEL97" s="975" t="s">
        <v>819</v>
      </c>
      <c r="FEM97" s="975" t="s">
        <v>819</v>
      </c>
      <c r="FEN97" s="975" t="s">
        <v>819</v>
      </c>
      <c r="FEO97" s="975" t="s">
        <v>819</v>
      </c>
      <c r="FEP97" s="975" t="s">
        <v>819</v>
      </c>
      <c r="FEQ97" s="975" t="s">
        <v>819</v>
      </c>
      <c r="FER97" s="975" t="s">
        <v>819</v>
      </c>
      <c r="FES97" s="975" t="s">
        <v>819</v>
      </c>
      <c r="FET97" s="975" t="s">
        <v>819</v>
      </c>
      <c r="FEU97" s="975" t="s">
        <v>819</v>
      </c>
      <c r="FEV97" s="975" t="s">
        <v>819</v>
      </c>
      <c r="FEW97" s="975" t="s">
        <v>819</v>
      </c>
      <c r="FEX97" s="975" t="s">
        <v>819</v>
      </c>
      <c r="FEY97" s="975" t="s">
        <v>819</v>
      </c>
      <c r="FEZ97" s="975" t="s">
        <v>819</v>
      </c>
      <c r="FFA97" s="975" t="s">
        <v>819</v>
      </c>
      <c r="FFB97" s="975" t="s">
        <v>819</v>
      </c>
      <c r="FFC97" s="975" t="s">
        <v>819</v>
      </c>
      <c r="FFD97" s="975" t="s">
        <v>819</v>
      </c>
      <c r="FFE97" s="975" t="s">
        <v>819</v>
      </c>
      <c r="FFF97" s="975" t="s">
        <v>819</v>
      </c>
      <c r="FFG97" s="975" t="s">
        <v>819</v>
      </c>
      <c r="FFH97" s="975" t="s">
        <v>819</v>
      </c>
      <c r="FFI97" s="975" t="s">
        <v>819</v>
      </c>
      <c r="FFJ97" s="975" t="s">
        <v>819</v>
      </c>
      <c r="FFK97" s="975" t="s">
        <v>819</v>
      </c>
      <c r="FFL97" s="975" t="s">
        <v>819</v>
      </c>
      <c r="FFM97" s="975" t="s">
        <v>819</v>
      </c>
      <c r="FFN97" s="975" t="s">
        <v>819</v>
      </c>
      <c r="FFO97" s="975" t="s">
        <v>819</v>
      </c>
      <c r="FFP97" s="975" t="s">
        <v>819</v>
      </c>
      <c r="FFQ97" s="975" t="s">
        <v>819</v>
      </c>
      <c r="FFR97" s="975" t="s">
        <v>819</v>
      </c>
      <c r="FFS97" s="975" t="s">
        <v>819</v>
      </c>
      <c r="FFT97" s="975" t="s">
        <v>819</v>
      </c>
      <c r="FFU97" s="975" t="s">
        <v>819</v>
      </c>
      <c r="FFV97" s="975" t="s">
        <v>819</v>
      </c>
      <c r="FFW97" s="975" t="s">
        <v>819</v>
      </c>
      <c r="FFX97" s="975" t="s">
        <v>819</v>
      </c>
      <c r="FFY97" s="975" t="s">
        <v>819</v>
      </c>
      <c r="FFZ97" s="975" t="s">
        <v>819</v>
      </c>
      <c r="FGA97" s="975" t="s">
        <v>819</v>
      </c>
      <c r="FGB97" s="975" t="s">
        <v>819</v>
      </c>
      <c r="FGC97" s="975" t="s">
        <v>819</v>
      </c>
      <c r="FGD97" s="975" t="s">
        <v>819</v>
      </c>
      <c r="FGE97" s="975" t="s">
        <v>819</v>
      </c>
      <c r="FGF97" s="975" t="s">
        <v>819</v>
      </c>
      <c r="FGG97" s="975" t="s">
        <v>819</v>
      </c>
      <c r="FGH97" s="975" t="s">
        <v>819</v>
      </c>
      <c r="FGI97" s="975" t="s">
        <v>819</v>
      </c>
      <c r="FGJ97" s="975" t="s">
        <v>819</v>
      </c>
      <c r="FGK97" s="975" t="s">
        <v>819</v>
      </c>
      <c r="FGL97" s="975" t="s">
        <v>819</v>
      </c>
      <c r="FGM97" s="975" t="s">
        <v>819</v>
      </c>
      <c r="FGN97" s="975" t="s">
        <v>819</v>
      </c>
      <c r="FGO97" s="975" t="s">
        <v>819</v>
      </c>
      <c r="FGP97" s="975" t="s">
        <v>819</v>
      </c>
      <c r="FGQ97" s="975" t="s">
        <v>819</v>
      </c>
      <c r="FGR97" s="975" t="s">
        <v>819</v>
      </c>
      <c r="FGS97" s="975" t="s">
        <v>819</v>
      </c>
      <c r="FGT97" s="975" t="s">
        <v>819</v>
      </c>
      <c r="FGU97" s="975" t="s">
        <v>819</v>
      </c>
      <c r="FGV97" s="975" t="s">
        <v>819</v>
      </c>
      <c r="FGW97" s="975" t="s">
        <v>819</v>
      </c>
      <c r="FGX97" s="975" t="s">
        <v>819</v>
      </c>
      <c r="FGY97" s="975" t="s">
        <v>819</v>
      </c>
      <c r="FGZ97" s="975" t="s">
        <v>819</v>
      </c>
      <c r="FHA97" s="975" t="s">
        <v>819</v>
      </c>
      <c r="FHB97" s="975" t="s">
        <v>819</v>
      </c>
      <c r="FHC97" s="975" t="s">
        <v>819</v>
      </c>
      <c r="FHD97" s="975" t="s">
        <v>819</v>
      </c>
      <c r="FHE97" s="975" t="s">
        <v>819</v>
      </c>
      <c r="FHF97" s="975" t="s">
        <v>819</v>
      </c>
      <c r="FHG97" s="975" t="s">
        <v>819</v>
      </c>
      <c r="FHH97" s="975" t="s">
        <v>819</v>
      </c>
      <c r="FHI97" s="975" t="s">
        <v>819</v>
      </c>
      <c r="FHJ97" s="975" t="s">
        <v>819</v>
      </c>
      <c r="FHK97" s="975" t="s">
        <v>819</v>
      </c>
      <c r="FHL97" s="975" t="s">
        <v>819</v>
      </c>
      <c r="FHM97" s="975" t="s">
        <v>819</v>
      </c>
      <c r="FHN97" s="975" t="s">
        <v>819</v>
      </c>
      <c r="FHO97" s="975" t="s">
        <v>819</v>
      </c>
      <c r="FHP97" s="975" t="s">
        <v>819</v>
      </c>
      <c r="FHQ97" s="975" t="s">
        <v>819</v>
      </c>
      <c r="FHR97" s="975" t="s">
        <v>819</v>
      </c>
      <c r="FHS97" s="975" t="s">
        <v>819</v>
      </c>
      <c r="FHT97" s="975" t="s">
        <v>819</v>
      </c>
      <c r="FHU97" s="975" t="s">
        <v>819</v>
      </c>
      <c r="FHV97" s="975" t="s">
        <v>819</v>
      </c>
      <c r="FHW97" s="975" t="s">
        <v>819</v>
      </c>
      <c r="FHX97" s="975" t="s">
        <v>819</v>
      </c>
      <c r="FHY97" s="975" t="s">
        <v>819</v>
      </c>
      <c r="FHZ97" s="975" t="s">
        <v>819</v>
      </c>
      <c r="FIA97" s="975" t="s">
        <v>819</v>
      </c>
      <c r="FIB97" s="975" t="s">
        <v>819</v>
      </c>
      <c r="FIC97" s="975" t="s">
        <v>819</v>
      </c>
      <c r="FID97" s="975" t="s">
        <v>819</v>
      </c>
      <c r="FIE97" s="975" t="s">
        <v>819</v>
      </c>
      <c r="FIF97" s="975" t="s">
        <v>819</v>
      </c>
      <c r="FIG97" s="975" t="s">
        <v>819</v>
      </c>
      <c r="FIH97" s="975" t="s">
        <v>819</v>
      </c>
      <c r="FII97" s="975" t="s">
        <v>819</v>
      </c>
      <c r="FIJ97" s="975" t="s">
        <v>819</v>
      </c>
      <c r="FIK97" s="975" t="s">
        <v>819</v>
      </c>
      <c r="FIL97" s="975" t="s">
        <v>819</v>
      </c>
      <c r="FIM97" s="975" t="s">
        <v>819</v>
      </c>
      <c r="FIN97" s="975" t="s">
        <v>819</v>
      </c>
      <c r="FIO97" s="975" t="s">
        <v>819</v>
      </c>
      <c r="FIP97" s="975" t="s">
        <v>819</v>
      </c>
      <c r="FIQ97" s="975" t="s">
        <v>819</v>
      </c>
      <c r="FIR97" s="975" t="s">
        <v>819</v>
      </c>
      <c r="FIS97" s="975" t="s">
        <v>819</v>
      </c>
      <c r="FIT97" s="975" t="s">
        <v>819</v>
      </c>
      <c r="FIU97" s="975" t="s">
        <v>819</v>
      </c>
      <c r="FIV97" s="975" t="s">
        <v>819</v>
      </c>
      <c r="FIW97" s="975" t="s">
        <v>819</v>
      </c>
      <c r="FIX97" s="975" t="s">
        <v>819</v>
      </c>
      <c r="FIY97" s="975" t="s">
        <v>819</v>
      </c>
      <c r="FIZ97" s="975" t="s">
        <v>819</v>
      </c>
      <c r="FJA97" s="975" t="s">
        <v>819</v>
      </c>
      <c r="FJB97" s="975" t="s">
        <v>819</v>
      </c>
      <c r="FJC97" s="975" t="s">
        <v>819</v>
      </c>
      <c r="FJD97" s="975" t="s">
        <v>819</v>
      </c>
      <c r="FJE97" s="975" t="s">
        <v>819</v>
      </c>
      <c r="FJF97" s="975" t="s">
        <v>819</v>
      </c>
      <c r="FJG97" s="975" t="s">
        <v>819</v>
      </c>
      <c r="FJH97" s="975" t="s">
        <v>819</v>
      </c>
      <c r="FJI97" s="975" t="s">
        <v>819</v>
      </c>
      <c r="FJJ97" s="975" t="s">
        <v>819</v>
      </c>
      <c r="FJK97" s="975" t="s">
        <v>819</v>
      </c>
      <c r="FJL97" s="975" t="s">
        <v>819</v>
      </c>
      <c r="FJM97" s="975" t="s">
        <v>819</v>
      </c>
      <c r="FJN97" s="975" t="s">
        <v>819</v>
      </c>
      <c r="FJO97" s="975" t="s">
        <v>819</v>
      </c>
      <c r="FJP97" s="975" t="s">
        <v>819</v>
      </c>
      <c r="FJQ97" s="975" t="s">
        <v>819</v>
      </c>
      <c r="FJR97" s="975" t="s">
        <v>819</v>
      </c>
      <c r="FJS97" s="975" t="s">
        <v>819</v>
      </c>
      <c r="FJT97" s="975" t="s">
        <v>819</v>
      </c>
      <c r="FJU97" s="975" t="s">
        <v>819</v>
      </c>
      <c r="FJV97" s="975" t="s">
        <v>819</v>
      </c>
      <c r="FJW97" s="975" t="s">
        <v>819</v>
      </c>
      <c r="FJX97" s="975" t="s">
        <v>819</v>
      </c>
      <c r="FJY97" s="975" t="s">
        <v>819</v>
      </c>
      <c r="FJZ97" s="975" t="s">
        <v>819</v>
      </c>
      <c r="FKA97" s="975" t="s">
        <v>819</v>
      </c>
      <c r="FKB97" s="975" t="s">
        <v>819</v>
      </c>
      <c r="FKC97" s="975" t="s">
        <v>819</v>
      </c>
      <c r="FKD97" s="975" t="s">
        <v>819</v>
      </c>
      <c r="FKE97" s="975" t="s">
        <v>819</v>
      </c>
      <c r="FKF97" s="975" t="s">
        <v>819</v>
      </c>
      <c r="FKG97" s="975" t="s">
        <v>819</v>
      </c>
      <c r="FKH97" s="975" t="s">
        <v>819</v>
      </c>
      <c r="FKI97" s="975" t="s">
        <v>819</v>
      </c>
      <c r="FKJ97" s="975" t="s">
        <v>819</v>
      </c>
      <c r="FKK97" s="975" t="s">
        <v>819</v>
      </c>
      <c r="FKL97" s="975" t="s">
        <v>819</v>
      </c>
      <c r="FKM97" s="975" t="s">
        <v>819</v>
      </c>
      <c r="FKN97" s="975" t="s">
        <v>819</v>
      </c>
      <c r="FKO97" s="975" t="s">
        <v>819</v>
      </c>
      <c r="FKP97" s="975" t="s">
        <v>819</v>
      </c>
      <c r="FKQ97" s="975" t="s">
        <v>819</v>
      </c>
      <c r="FKR97" s="975" t="s">
        <v>819</v>
      </c>
      <c r="FKS97" s="975" t="s">
        <v>819</v>
      </c>
      <c r="FKT97" s="975" t="s">
        <v>819</v>
      </c>
      <c r="FKU97" s="975" t="s">
        <v>819</v>
      </c>
      <c r="FKV97" s="975" t="s">
        <v>819</v>
      </c>
      <c r="FKW97" s="975" t="s">
        <v>819</v>
      </c>
      <c r="FKX97" s="975" t="s">
        <v>819</v>
      </c>
      <c r="FKY97" s="975" t="s">
        <v>819</v>
      </c>
      <c r="FKZ97" s="975" t="s">
        <v>819</v>
      </c>
      <c r="FLA97" s="975" t="s">
        <v>819</v>
      </c>
      <c r="FLB97" s="975" t="s">
        <v>819</v>
      </c>
      <c r="FLC97" s="975" t="s">
        <v>819</v>
      </c>
      <c r="FLD97" s="975" t="s">
        <v>819</v>
      </c>
      <c r="FLE97" s="975" t="s">
        <v>819</v>
      </c>
      <c r="FLF97" s="975" t="s">
        <v>819</v>
      </c>
      <c r="FLG97" s="975" t="s">
        <v>819</v>
      </c>
      <c r="FLH97" s="975" t="s">
        <v>819</v>
      </c>
      <c r="FLI97" s="975" t="s">
        <v>819</v>
      </c>
      <c r="FLJ97" s="975" t="s">
        <v>819</v>
      </c>
      <c r="FLK97" s="975" t="s">
        <v>819</v>
      </c>
      <c r="FLL97" s="975" t="s">
        <v>819</v>
      </c>
      <c r="FLM97" s="975" t="s">
        <v>819</v>
      </c>
      <c r="FLN97" s="975" t="s">
        <v>819</v>
      </c>
      <c r="FLO97" s="975" t="s">
        <v>819</v>
      </c>
      <c r="FLP97" s="975" t="s">
        <v>819</v>
      </c>
      <c r="FLQ97" s="975" t="s">
        <v>819</v>
      </c>
      <c r="FLR97" s="975" t="s">
        <v>819</v>
      </c>
      <c r="FLS97" s="975" t="s">
        <v>819</v>
      </c>
      <c r="FLT97" s="975" t="s">
        <v>819</v>
      </c>
      <c r="FLU97" s="975" t="s">
        <v>819</v>
      </c>
      <c r="FLV97" s="975" t="s">
        <v>819</v>
      </c>
      <c r="FLW97" s="975" t="s">
        <v>819</v>
      </c>
      <c r="FLX97" s="975" t="s">
        <v>819</v>
      </c>
      <c r="FLY97" s="975" t="s">
        <v>819</v>
      </c>
      <c r="FLZ97" s="975" t="s">
        <v>819</v>
      </c>
      <c r="FMA97" s="975" t="s">
        <v>819</v>
      </c>
      <c r="FMB97" s="975" t="s">
        <v>819</v>
      </c>
      <c r="FMC97" s="975" t="s">
        <v>819</v>
      </c>
      <c r="FMD97" s="975" t="s">
        <v>819</v>
      </c>
      <c r="FME97" s="975" t="s">
        <v>819</v>
      </c>
      <c r="FMF97" s="975" t="s">
        <v>819</v>
      </c>
      <c r="FMG97" s="975" t="s">
        <v>819</v>
      </c>
      <c r="FMH97" s="975" t="s">
        <v>819</v>
      </c>
      <c r="FMI97" s="975" t="s">
        <v>819</v>
      </c>
      <c r="FMJ97" s="975" t="s">
        <v>819</v>
      </c>
      <c r="FMK97" s="975" t="s">
        <v>819</v>
      </c>
      <c r="FML97" s="975" t="s">
        <v>819</v>
      </c>
      <c r="FMM97" s="975" t="s">
        <v>819</v>
      </c>
      <c r="FMN97" s="975" t="s">
        <v>819</v>
      </c>
      <c r="FMO97" s="975" t="s">
        <v>819</v>
      </c>
      <c r="FMP97" s="975" t="s">
        <v>819</v>
      </c>
      <c r="FMQ97" s="975" t="s">
        <v>819</v>
      </c>
      <c r="FMR97" s="975" t="s">
        <v>819</v>
      </c>
      <c r="FMS97" s="975" t="s">
        <v>819</v>
      </c>
      <c r="FMT97" s="975" t="s">
        <v>819</v>
      </c>
      <c r="FMU97" s="975" t="s">
        <v>819</v>
      </c>
      <c r="FMV97" s="975" t="s">
        <v>819</v>
      </c>
      <c r="FMW97" s="975" t="s">
        <v>819</v>
      </c>
      <c r="FMX97" s="975" t="s">
        <v>819</v>
      </c>
      <c r="FMY97" s="975" t="s">
        <v>819</v>
      </c>
      <c r="FMZ97" s="975" t="s">
        <v>819</v>
      </c>
      <c r="FNA97" s="975" t="s">
        <v>819</v>
      </c>
      <c r="FNB97" s="975" t="s">
        <v>819</v>
      </c>
      <c r="FNC97" s="975" t="s">
        <v>819</v>
      </c>
      <c r="FND97" s="975" t="s">
        <v>819</v>
      </c>
      <c r="FNE97" s="975" t="s">
        <v>819</v>
      </c>
      <c r="FNF97" s="975" t="s">
        <v>819</v>
      </c>
      <c r="FNG97" s="975" t="s">
        <v>819</v>
      </c>
      <c r="FNH97" s="975" t="s">
        <v>819</v>
      </c>
      <c r="FNI97" s="975" t="s">
        <v>819</v>
      </c>
      <c r="FNJ97" s="975" t="s">
        <v>819</v>
      </c>
      <c r="FNK97" s="975" t="s">
        <v>819</v>
      </c>
      <c r="FNL97" s="975" t="s">
        <v>819</v>
      </c>
      <c r="FNM97" s="975" t="s">
        <v>819</v>
      </c>
      <c r="FNN97" s="975" t="s">
        <v>819</v>
      </c>
      <c r="FNO97" s="975" t="s">
        <v>819</v>
      </c>
      <c r="FNP97" s="975" t="s">
        <v>819</v>
      </c>
      <c r="FNQ97" s="975" t="s">
        <v>819</v>
      </c>
      <c r="FNR97" s="975" t="s">
        <v>819</v>
      </c>
      <c r="FNS97" s="975" t="s">
        <v>819</v>
      </c>
      <c r="FNT97" s="975" t="s">
        <v>819</v>
      </c>
      <c r="FNU97" s="975" t="s">
        <v>819</v>
      </c>
      <c r="FNV97" s="975" t="s">
        <v>819</v>
      </c>
      <c r="FNW97" s="975" t="s">
        <v>819</v>
      </c>
      <c r="FNX97" s="975" t="s">
        <v>819</v>
      </c>
      <c r="FNY97" s="975" t="s">
        <v>819</v>
      </c>
      <c r="FNZ97" s="975" t="s">
        <v>819</v>
      </c>
      <c r="FOA97" s="975" t="s">
        <v>819</v>
      </c>
      <c r="FOB97" s="975" t="s">
        <v>819</v>
      </c>
      <c r="FOC97" s="975" t="s">
        <v>819</v>
      </c>
      <c r="FOD97" s="975" t="s">
        <v>819</v>
      </c>
      <c r="FOE97" s="975" t="s">
        <v>819</v>
      </c>
      <c r="FOF97" s="975" t="s">
        <v>819</v>
      </c>
      <c r="FOG97" s="975" t="s">
        <v>819</v>
      </c>
      <c r="FOH97" s="975" t="s">
        <v>819</v>
      </c>
      <c r="FOI97" s="975" t="s">
        <v>819</v>
      </c>
      <c r="FOJ97" s="975" t="s">
        <v>819</v>
      </c>
      <c r="FOK97" s="975" t="s">
        <v>819</v>
      </c>
      <c r="FOL97" s="975" t="s">
        <v>819</v>
      </c>
      <c r="FOM97" s="975" t="s">
        <v>819</v>
      </c>
      <c r="FON97" s="975" t="s">
        <v>819</v>
      </c>
      <c r="FOO97" s="975" t="s">
        <v>819</v>
      </c>
      <c r="FOP97" s="975" t="s">
        <v>819</v>
      </c>
      <c r="FOQ97" s="975" t="s">
        <v>819</v>
      </c>
      <c r="FOR97" s="975" t="s">
        <v>819</v>
      </c>
      <c r="FOS97" s="975" t="s">
        <v>819</v>
      </c>
      <c r="FOT97" s="975" t="s">
        <v>819</v>
      </c>
      <c r="FOU97" s="975" t="s">
        <v>819</v>
      </c>
      <c r="FOV97" s="975" t="s">
        <v>819</v>
      </c>
      <c r="FOW97" s="975" t="s">
        <v>819</v>
      </c>
      <c r="FOX97" s="975" t="s">
        <v>819</v>
      </c>
      <c r="FOY97" s="975" t="s">
        <v>819</v>
      </c>
      <c r="FOZ97" s="975" t="s">
        <v>819</v>
      </c>
      <c r="FPA97" s="975" t="s">
        <v>819</v>
      </c>
      <c r="FPB97" s="975" t="s">
        <v>819</v>
      </c>
      <c r="FPC97" s="975" t="s">
        <v>819</v>
      </c>
      <c r="FPD97" s="975" t="s">
        <v>819</v>
      </c>
      <c r="FPE97" s="975" t="s">
        <v>819</v>
      </c>
      <c r="FPF97" s="975" t="s">
        <v>819</v>
      </c>
      <c r="FPG97" s="975" t="s">
        <v>819</v>
      </c>
      <c r="FPH97" s="975" t="s">
        <v>819</v>
      </c>
      <c r="FPI97" s="975" t="s">
        <v>819</v>
      </c>
      <c r="FPJ97" s="975" t="s">
        <v>819</v>
      </c>
      <c r="FPK97" s="975" t="s">
        <v>819</v>
      </c>
      <c r="FPL97" s="975" t="s">
        <v>819</v>
      </c>
      <c r="FPM97" s="975" t="s">
        <v>819</v>
      </c>
      <c r="FPN97" s="975" t="s">
        <v>819</v>
      </c>
      <c r="FPO97" s="975" t="s">
        <v>819</v>
      </c>
      <c r="FPP97" s="975" t="s">
        <v>819</v>
      </c>
      <c r="FPQ97" s="975" t="s">
        <v>819</v>
      </c>
      <c r="FPR97" s="975" t="s">
        <v>819</v>
      </c>
      <c r="FPS97" s="975" t="s">
        <v>819</v>
      </c>
      <c r="FPT97" s="975" t="s">
        <v>819</v>
      </c>
      <c r="FPU97" s="975" t="s">
        <v>819</v>
      </c>
      <c r="FPV97" s="975" t="s">
        <v>819</v>
      </c>
      <c r="FPW97" s="975" t="s">
        <v>819</v>
      </c>
      <c r="FPX97" s="975" t="s">
        <v>819</v>
      </c>
      <c r="FPY97" s="975" t="s">
        <v>819</v>
      </c>
      <c r="FPZ97" s="975" t="s">
        <v>819</v>
      </c>
      <c r="FQA97" s="975" t="s">
        <v>819</v>
      </c>
      <c r="FQB97" s="975" t="s">
        <v>819</v>
      </c>
      <c r="FQC97" s="975" t="s">
        <v>819</v>
      </c>
      <c r="FQD97" s="975" t="s">
        <v>819</v>
      </c>
      <c r="FQE97" s="975" t="s">
        <v>819</v>
      </c>
      <c r="FQF97" s="975" t="s">
        <v>819</v>
      </c>
      <c r="FQG97" s="975" t="s">
        <v>819</v>
      </c>
      <c r="FQH97" s="975" t="s">
        <v>819</v>
      </c>
      <c r="FQI97" s="975" t="s">
        <v>819</v>
      </c>
      <c r="FQJ97" s="975" t="s">
        <v>819</v>
      </c>
      <c r="FQK97" s="975" t="s">
        <v>819</v>
      </c>
      <c r="FQL97" s="975" t="s">
        <v>819</v>
      </c>
      <c r="FQM97" s="975" t="s">
        <v>819</v>
      </c>
      <c r="FQN97" s="975" t="s">
        <v>819</v>
      </c>
      <c r="FQO97" s="975" t="s">
        <v>819</v>
      </c>
      <c r="FQP97" s="975" t="s">
        <v>819</v>
      </c>
      <c r="FQQ97" s="975" t="s">
        <v>819</v>
      </c>
      <c r="FQR97" s="975" t="s">
        <v>819</v>
      </c>
      <c r="FQS97" s="975" t="s">
        <v>819</v>
      </c>
      <c r="FQT97" s="975" t="s">
        <v>819</v>
      </c>
      <c r="FQU97" s="975" t="s">
        <v>819</v>
      </c>
      <c r="FQV97" s="975" t="s">
        <v>819</v>
      </c>
      <c r="FQW97" s="975" t="s">
        <v>819</v>
      </c>
      <c r="FQX97" s="975" t="s">
        <v>819</v>
      </c>
      <c r="FQY97" s="975" t="s">
        <v>819</v>
      </c>
      <c r="FQZ97" s="975" t="s">
        <v>819</v>
      </c>
      <c r="FRA97" s="975" t="s">
        <v>819</v>
      </c>
      <c r="FRB97" s="975" t="s">
        <v>819</v>
      </c>
      <c r="FRC97" s="975" t="s">
        <v>819</v>
      </c>
      <c r="FRD97" s="975" t="s">
        <v>819</v>
      </c>
      <c r="FRE97" s="975" t="s">
        <v>819</v>
      </c>
      <c r="FRF97" s="975" t="s">
        <v>819</v>
      </c>
      <c r="FRG97" s="975" t="s">
        <v>819</v>
      </c>
      <c r="FRH97" s="975" t="s">
        <v>819</v>
      </c>
      <c r="FRI97" s="975" t="s">
        <v>819</v>
      </c>
      <c r="FRJ97" s="975" t="s">
        <v>819</v>
      </c>
      <c r="FRK97" s="975" t="s">
        <v>819</v>
      </c>
      <c r="FRL97" s="975" t="s">
        <v>819</v>
      </c>
      <c r="FRM97" s="975" t="s">
        <v>819</v>
      </c>
      <c r="FRN97" s="975" t="s">
        <v>819</v>
      </c>
      <c r="FRO97" s="975" t="s">
        <v>819</v>
      </c>
      <c r="FRP97" s="975" t="s">
        <v>819</v>
      </c>
      <c r="FRQ97" s="975" t="s">
        <v>819</v>
      </c>
      <c r="FRR97" s="975" t="s">
        <v>819</v>
      </c>
      <c r="FRS97" s="975" t="s">
        <v>819</v>
      </c>
      <c r="FRT97" s="975" t="s">
        <v>819</v>
      </c>
      <c r="FRU97" s="975" t="s">
        <v>819</v>
      </c>
      <c r="FRV97" s="975" t="s">
        <v>819</v>
      </c>
      <c r="FRW97" s="975" t="s">
        <v>819</v>
      </c>
      <c r="FRX97" s="975" t="s">
        <v>819</v>
      </c>
      <c r="FRY97" s="975" t="s">
        <v>819</v>
      </c>
      <c r="FRZ97" s="975" t="s">
        <v>819</v>
      </c>
      <c r="FSA97" s="975" t="s">
        <v>819</v>
      </c>
      <c r="FSB97" s="975" t="s">
        <v>819</v>
      </c>
      <c r="FSC97" s="975" t="s">
        <v>819</v>
      </c>
      <c r="FSD97" s="975" t="s">
        <v>819</v>
      </c>
      <c r="FSE97" s="975" t="s">
        <v>819</v>
      </c>
      <c r="FSF97" s="975" t="s">
        <v>819</v>
      </c>
      <c r="FSG97" s="975" t="s">
        <v>819</v>
      </c>
      <c r="FSH97" s="975" t="s">
        <v>819</v>
      </c>
      <c r="FSI97" s="975" t="s">
        <v>819</v>
      </c>
      <c r="FSJ97" s="975" t="s">
        <v>819</v>
      </c>
      <c r="FSK97" s="975" t="s">
        <v>819</v>
      </c>
      <c r="FSL97" s="975" t="s">
        <v>819</v>
      </c>
      <c r="FSM97" s="975" t="s">
        <v>819</v>
      </c>
      <c r="FSN97" s="975" t="s">
        <v>819</v>
      </c>
      <c r="FSO97" s="975" t="s">
        <v>819</v>
      </c>
      <c r="FSP97" s="975" t="s">
        <v>819</v>
      </c>
      <c r="FSQ97" s="975" t="s">
        <v>819</v>
      </c>
      <c r="FSR97" s="975" t="s">
        <v>819</v>
      </c>
      <c r="FSS97" s="975" t="s">
        <v>819</v>
      </c>
      <c r="FST97" s="975" t="s">
        <v>819</v>
      </c>
      <c r="FSU97" s="975" t="s">
        <v>819</v>
      </c>
      <c r="FSV97" s="975" t="s">
        <v>819</v>
      </c>
      <c r="FSW97" s="975" t="s">
        <v>819</v>
      </c>
      <c r="FSX97" s="975" t="s">
        <v>819</v>
      </c>
      <c r="FSY97" s="975" t="s">
        <v>819</v>
      </c>
      <c r="FSZ97" s="975" t="s">
        <v>819</v>
      </c>
      <c r="FTA97" s="975" t="s">
        <v>819</v>
      </c>
      <c r="FTB97" s="975" t="s">
        <v>819</v>
      </c>
      <c r="FTC97" s="975" t="s">
        <v>819</v>
      </c>
      <c r="FTD97" s="975" t="s">
        <v>819</v>
      </c>
      <c r="FTE97" s="975" t="s">
        <v>819</v>
      </c>
      <c r="FTF97" s="975" t="s">
        <v>819</v>
      </c>
      <c r="FTG97" s="975" t="s">
        <v>819</v>
      </c>
      <c r="FTH97" s="975" t="s">
        <v>819</v>
      </c>
      <c r="FTI97" s="975" t="s">
        <v>819</v>
      </c>
      <c r="FTJ97" s="975" t="s">
        <v>819</v>
      </c>
      <c r="FTK97" s="975" t="s">
        <v>819</v>
      </c>
      <c r="FTL97" s="975" t="s">
        <v>819</v>
      </c>
      <c r="FTM97" s="975" t="s">
        <v>819</v>
      </c>
      <c r="FTN97" s="975" t="s">
        <v>819</v>
      </c>
      <c r="FTO97" s="975" t="s">
        <v>819</v>
      </c>
      <c r="FTP97" s="975" t="s">
        <v>819</v>
      </c>
      <c r="FTQ97" s="975" t="s">
        <v>819</v>
      </c>
      <c r="FTR97" s="975" t="s">
        <v>819</v>
      </c>
      <c r="FTS97" s="975" t="s">
        <v>819</v>
      </c>
      <c r="FTT97" s="975" t="s">
        <v>819</v>
      </c>
      <c r="FTU97" s="975" t="s">
        <v>819</v>
      </c>
      <c r="FTV97" s="975" t="s">
        <v>819</v>
      </c>
      <c r="FTW97" s="975" t="s">
        <v>819</v>
      </c>
      <c r="FTX97" s="975" t="s">
        <v>819</v>
      </c>
      <c r="FTY97" s="975" t="s">
        <v>819</v>
      </c>
      <c r="FTZ97" s="975" t="s">
        <v>819</v>
      </c>
      <c r="FUA97" s="975" t="s">
        <v>819</v>
      </c>
      <c r="FUB97" s="975" t="s">
        <v>819</v>
      </c>
      <c r="FUC97" s="975" t="s">
        <v>819</v>
      </c>
      <c r="FUD97" s="975" t="s">
        <v>819</v>
      </c>
      <c r="FUE97" s="975" t="s">
        <v>819</v>
      </c>
      <c r="FUF97" s="975" t="s">
        <v>819</v>
      </c>
      <c r="FUG97" s="975" t="s">
        <v>819</v>
      </c>
      <c r="FUH97" s="975" t="s">
        <v>819</v>
      </c>
      <c r="FUI97" s="975" t="s">
        <v>819</v>
      </c>
      <c r="FUJ97" s="975" t="s">
        <v>819</v>
      </c>
      <c r="FUK97" s="975" t="s">
        <v>819</v>
      </c>
      <c r="FUL97" s="975" t="s">
        <v>819</v>
      </c>
      <c r="FUM97" s="975" t="s">
        <v>819</v>
      </c>
      <c r="FUN97" s="975" t="s">
        <v>819</v>
      </c>
      <c r="FUO97" s="975" t="s">
        <v>819</v>
      </c>
      <c r="FUP97" s="975" t="s">
        <v>819</v>
      </c>
      <c r="FUQ97" s="975" t="s">
        <v>819</v>
      </c>
      <c r="FUR97" s="975" t="s">
        <v>819</v>
      </c>
      <c r="FUS97" s="975" t="s">
        <v>819</v>
      </c>
      <c r="FUT97" s="975" t="s">
        <v>819</v>
      </c>
      <c r="FUU97" s="975" t="s">
        <v>819</v>
      </c>
      <c r="FUV97" s="975" t="s">
        <v>819</v>
      </c>
      <c r="FUW97" s="975" t="s">
        <v>819</v>
      </c>
      <c r="FUX97" s="975" t="s">
        <v>819</v>
      </c>
      <c r="FUY97" s="975" t="s">
        <v>819</v>
      </c>
      <c r="FUZ97" s="975" t="s">
        <v>819</v>
      </c>
      <c r="FVA97" s="975" t="s">
        <v>819</v>
      </c>
      <c r="FVB97" s="975" t="s">
        <v>819</v>
      </c>
      <c r="FVC97" s="975" t="s">
        <v>819</v>
      </c>
      <c r="FVD97" s="975" t="s">
        <v>819</v>
      </c>
      <c r="FVE97" s="975" t="s">
        <v>819</v>
      </c>
      <c r="FVF97" s="975" t="s">
        <v>819</v>
      </c>
      <c r="FVG97" s="975" t="s">
        <v>819</v>
      </c>
      <c r="FVH97" s="975" t="s">
        <v>819</v>
      </c>
      <c r="FVI97" s="975" t="s">
        <v>819</v>
      </c>
      <c r="FVJ97" s="975" t="s">
        <v>819</v>
      </c>
      <c r="FVK97" s="975" t="s">
        <v>819</v>
      </c>
      <c r="FVL97" s="975" t="s">
        <v>819</v>
      </c>
      <c r="FVM97" s="975" t="s">
        <v>819</v>
      </c>
      <c r="FVN97" s="975" t="s">
        <v>819</v>
      </c>
      <c r="FVO97" s="975" t="s">
        <v>819</v>
      </c>
      <c r="FVP97" s="975" t="s">
        <v>819</v>
      </c>
      <c r="FVQ97" s="975" t="s">
        <v>819</v>
      </c>
      <c r="FVR97" s="975" t="s">
        <v>819</v>
      </c>
      <c r="FVS97" s="975" t="s">
        <v>819</v>
      </c>
      <c r="FVT97" s="975" t="s">
        <v>819</v>
      </c>
      <c r="FVU97" s="975" t="s">
        <v>819</v>
      </c>
      <c r="FVV97" s="975" t="s">
        <v>819</v>
      </c>
      <c r="FVW97" s="975" t="s">
        <v>819</v>
      </c>
      <c r="FVX97" s="975" t="s">
        <v>819</v>
      </c>
      <c r="FVY97" s="975" t="s">
        <v>819</v>
      </c>
      <c r="FVZ97" s="975" t="s">
        <v>819</v>
      </c>
      <c r="FWA97" s="975" t="s">
        <v>819</v>
      </c>
      <c r="FWB97" s="975" t="s">
        <v>819</v>
      </c>
      <c r="FWC97" s="975" t="s">
        <v>819</v>
      </c>
      <c r="FWD97" s="975" t="s">
        <v>819</v>
      </c>
      <c r="FWE97" s="975" t="s">
        <v>819</v>
      </c>
      <c r="FWF97" s="975" t="s">
        <v>819</v>
      </c>
      <c r="FWG97" s="975" t="s">
        <v>819</v>
      </c>
      <c r="FWH97" s="975" t="s">
        <v>819</v>
      </c>
      <c r="FWI97" s="975" t="s">
        <v>819</v>
      </c>
      <c r="FWJ97" s="975" t="s">
        <v>819</v>
      </c>
      <c r="FWK97" s="975" t="s">
        <v>819</v>
      </c>
      <c r="FWL97" s="975" t="s">
        <v>819</v>
      </c>
      <c r="FWM97" s="975" t="s">
        <v>819</v>
      </c>
      <c r="FWN97" s="975" t="s">
        <v>819</v>
      </c>
      <c r="FWO97" s="975" t="s">
        <v>819</v>
      </c>
      <c r="FWP97" s="975" t="s">
        <v>819</v>
      </c>
      <c r="FWQ97" s="975" t="s">
        <v>819</v>
      </c>
      <c r="FWR97" s="975" t="s">
        <v>819</v>
      </c>
      <c r="FWS97" s="975" t="s">
        <v>819</v>
      </c>
      <c r="FWT97" s="975" t="s">
        <v>819</v>
      </c>
      <c r="FWU97" s="975" t="s">
        <v>819</v>
      </c>
      <c r="FWV97" s="975" t="s">
        <v>819</v>
      </c>
      <c r="FWW97" s="975" t="s">
        <v>819</v>
      </c>
      <c r="FWX97" s="975" t="s">
        <v>819</v>
      </c>
      <c r="FWY97" s="975" t="s">
        <v>819</v>
      </c>
      <c r="FWZ97" s="975" t="s">
        <v>819</v>
      </c>
      <c r="FXA97" s="975" t="s">
        <v>819</v>
      </c>
      <c r="FXB97" s="975" t="s">
        <v>819</v>
      </c>
      <c r="FXC97" s="975" t="s">
        <v>819</v>
      </c>
      <c r="FXD97" s="975" t="s">
        <v>819</v>
      </c>
      <c r="FXE97" s="975" t="s">
        <v>819</v>
      </c>
      <c r="FXF97" s="975" t="s">
        <v>819</v>
      </c>
      <c r="FXG97" s="975" t="s">
        <v>819</v>
      </c>
      <c r="FXH97" s="975" t="s">
        <v>819</v>
      </c>
      <c r="FXI97" s="975" t="s">
        <v>819</v>
      </c>
      <c r="FXJ97" s="975" t="s">
        <v>819</v>
      </c>
      <c r="FXK97" s="975" t="s">
        <v>819</v>
      </c>
      <c r="FXL97" s="975" t="s">
        <v>819</v>
      </c>
      <c r="FXM97" s="975" t="s">
        <v>819</v>
      </c>
      <c r="FXN97" s="975" t="s">
        <v>819</v>
      </c>
      <c r="FXO97" s="975" t="s">
        <v>819</v>
      </c>
      <c r="FXP97" s="975" t="s">
        <v>819</v>
      </c>
      <c r="FXQ97" s="975" t="s">
        <v>819</v>
      </c>
      <c r="FXR97" s="975" t="s">
        <v>819</v>
      </c>
      <c r="FXS97" s="975" t="s">
        <v>819</v>
      </c>
      <c r="FXT97" s="975" t="s">
        <v>819</v>
      </c>
      <c r="FXU97" s="975" t="s">
        <v>819</v>
      </c>
      <c r="FXV97" s="975" t="s">
        <v>819</v>
      </c>
      <c r="FXW97" s="975" t="s">
        <v>819</v>
      </c>
      <c r="FXX97" s="975" t="s">
        <v>819</v>
      </c>
      <c r="FXY97" s="975" t="s">
        <v>819</v>
      </c>
      <c r="FXZ97" s="975" t="s">
        <v>819</v>
      </c>
      <c r="FYA97" s="975" t="s">
        <v>819</v>
      </c>
      <c r="FYB97" s="975" t="s">
        <v>819</v>
      </c>
      <c r="FYC97" s="975" t="s">
        <v>819</v>
      </c>
      <c r="FYD97" s="975" t="s">
        <v>819</v>
      </c>
      <c r="FYE97" s="975" t="s">
        <v>819</v>
      </c>
      <c r="FYF97" s="975" t="s">
        <v>819</v>
      </c>
      <c r="FYG97" s="975" t="s">
        <v>819</v>
      </c>
      <c r="FYH97" s="975" t="s">
        <v>819</v>
      </c>
      <c r="FYI97" s="975" t="s">
        <v>819</v>
      </c>
      <c r="FYJ97" s="975" t="s">
        <v>819</v>
      </c>
      <c r="FYK97" s="975" t="s">
        <v>819</v>
      </c>
      <c r="FYL97" s="975" t="s">
        <v>819</v>
      </c>
      <c r="FYM97" s="975" t="s">
        <v>819</v>
      </c>
      <c r="FYN97" s="975" t="s">
        <v>819</v>
      </c>
      <c r="FYO97" s="975" t="s">
        <v>819</v>
      </c>
      <c r="FYP97" s="975" t="s">
        <v>819</v>
      </c>
      <c r="FYQ97" s="975" t="s">
        <v>819</v>
      </c>
      <c r="FYR97" s="975" t="s">
        <v>819</v>
      </c>
      <c r="FYS97" s="975" t="s">
        <v>819</v>
      </c>
      <c r="FYT97" s="975" t="s">
        <v>819</v>
      </c>
      <c r="FYU97" s="975" t="s">
        <v>819</v>
      </c>
      <c r="FYV97" s="975" t="s">
        <v>819</v>
      </c>
      <c r="FYW97" s="975" t="s">
        <v>819</v>
      </c>
      <c r="FYX97" s="975" t="s">
        <v>819</v>
      </c>
      <c r="FYY97" s="975" t="s">
        <v>819</v>
      </c>
      <c r="FYZ97" s="975" t="s">
        <v>819</v>
      </c>
      <c r="FZA97" s="975" t="s">
        <v>819</v>
      </c>
      <c r="FZB97" s="975" t="s">
        <v>819</v>
      </c>
      <c r="FZC97" s="975" t="s">
        <v>819</v>
      </c>
      <c r="FZD97" s="975" t="s">
        <v>819</v>
      </c>
      <c r="FZE97" s="975" t="s">
        <v>819</v>
      </c>
      <c r="FZF97" s="975" t="s">
        <v>819</v>
      </c>
      <c r="FZG97" s="975" t="s">
        <v>819</v>
      </c>
      <c r="FZH97" s="975" t="s">
        <v>819</v>
      </c>
      <c r="FZI97" s="975" t="s">
        <v>819</v>
      </c>
      <c r="FZJ97" s="975" t="s">
        <v>819</v>
      </c>
      <c r="FZK97" s="975" t="s">
        <v>819</v>
      </c>
      <c r="FZL97" s="975" t="s">
        <v>819</v>
      </c>
      <c r="FZM97" s="975" t="s">
        <v>819</v>
      </c>
      <c r="FZN97" s="975" t="s">
        <v>819</v>
      </c>
      <c r="FZO97" s="975" t="s">
        <v>819</v>
      </c>
      <c r="FZP97" s="975" t="s">
        <v>819</v>
      </c>
      <c r="FZQ97" s="975" t="s">
        <v>819</v>
      </c>
      <c r="FZR97" s="975" t="s">
        <v>819</v>
      </c>
      <c r="FZS97" s="975" t="s">
        <v>819</v>
      </c>
      <c r="FZT97" s="975" t="s">
        <v>819</v>
      </c>
      <c r="FZU97" s="975" t="s">
        <v>819</v>
      </c>
      <c r="FZV97" s="975" t="s">
        <v>819</v>
      </c>
      <c r="FZW97" s="975" t="s">
        <v>819</v>
      </c>
      <c r="FZX97" s="975" t="s">
        <v>819</v>
      </c>
      <c r="FZY97" s="975" t="s">
        <v>819</v>
      </c>
      <c r="FZZ97" s="975" t="s">
        <v>819</v>
      </c>
      <c r="GAA97" s="975" t="s">
        <v>819</v>
      </c>
      <c r="GAB97" s="975" t="s">
        <v>819</v>
      </c>
      <c r="GAC97" s="975" t="s">
        <v>819</v>
      </c>
      <c r="GAD97" s="975" t="s">
        <v>819</v>
      </c>
      <c r="GAE97" s="975" t="s">
        <v>819</v>
      </c>
      <c r="GAF97" s="975" t="s">
        <v>819</v>
      </c>
      <c r="GAG97" s="975" t="s">
        <v>819</v>
      </c>
      <c r="GAH97" s="975" t="s">
        <v>819</v>
      </c>
      <c r="GAI97" s="975" t="s">
        <v>819</v>
      </c>
      <c r="GAJ97" s="975" t="s">
        <v>819</v>
      </c>
      <c r="GAK97" s="975" t="s">
        <v>819</v>
      </c>
      <c r="GAL97" s="975" t="s">
        <v>819</v>
      </c>
      <c r="GAM97" s="975" t="s">
        <v>819</v>
      </c>
      <c r="GAN97" s="975" t="s">
        <v>819</v>
      </c>
      <c r="GAO97" s="975" t="s">
        <v>819</v>
      </c>
      <c r="GAP97" s="975" t="s">
        <v>819</v>
      </c>
      <c r="GAQ97" s="975" t="s">
        <v>819</v>
      </c>
      <c r="GAR97" s="975" t="s">
        <v>819</v>
      </c>
      <c r="GAS97" s="975" t="s">
        <v>819</v>
      </c>
      <c r="GAT97" s="975" t="s">
        <v>819</v>
      </c>
      <c r="GAU97" s="975" t="s">
        <v>819</v>
      </c>
      <c r="GAV97" s="975" t="s">
        <v>819</v>
      </c>
      <c r="GAW97" s="975" t="s">
        <v>819</v>
      </c>
      <c r="GAX97" s="975" t="s">
        <v>819</v>
      </c>
      <c r="GAY97" s="975" t="s">
        <v>819</v>
      </c>
      <c r="GAZ97" s="975" t="s">
        <v>819</v>
      </c>
      <c r="GBA97" s="975" t="s">
        <v>819</v>
      </c>
      <c r="GBB97" s="975" t="s">
        <v>819</v>
      </c>
      <c r="GBC97" s="975" t="s">
        <v>819</v>
      </c>
      <c r="GBD97" s="975" t="s">
        <v>819</v>
      </c>
      <c r="GBE97" s="975" t="s">
        <v>819</v>
      </c>
      <c r="GBF97" s="975" t="s">
        <v>819</v>
      </c>
      <c r="GBG97" s="975" t="s">
        <v>819</v>
      </c>
      <c r="GBH97" s="975" t="s">
        <v>819</v>
      </c>
      <c r="GBI97" s="975" t="s">
        <v>819</v>
      </c>
      <c r="GBJ97" s="975" t="s">
        <v>819</v>
      </c>
      <c r="GBK97" s="975" t="s">
        <v>819</v>
      </c>
      <c r="GBL97" s="975" t="s">
        <v>819</v>
      </c>
      <c r="GBM97" s="975" t="s">
        <v>819</v>
      </c>
      <c r="GBN97" s="975" t="s">
        <v>819</v>
      </c>
      <c r="GBO97" s="975" t="s">
        <v>819</v>
      </c>
      <c r="GBP97" s="975" t="s">
        <v>819</v>
      </c>
      <c r="GBQ97" s="975" t="s">
        <v>819</v>
      </c>
      <c r="GBR97" s="975" t="s">
        <v>819</v>
      </c>
      <c r="GBS97" s="975" t="s">
        <v>819</v>
      </c>
      <c r="GBT97" s="975" t="s">
        <v>819</v>
      </c>
      <c r="GBU97" s="975" t="s">
        <v>819</v>
      </c>
      <c r="GBV97" s="975" t="s">
        <v>819</v>
      </c>
      <c r="GBW97" s="975" t="s">
        <v>819</v>
      </c>
      <c r="GBX97" s="975" t="s">
        <v>819</v>
      </c>
      <c r="GBY97" s="975" t="s">
        <v>819</v>
      </c>
      <c r="GBZ97" s="975" t="s">
        <v>819</v>
      </c>
      <c r="GCA97" s="975" t="s">
        <v>819</v>
      </c>
      <c r="GCB97" s="975" t="s">
        <v>819</v>
      </c>
      <c r="GCC97" s="975" t="s">
        <v>819</v>
      </c>
      <c r="GCD97" s="975" t="s">
        <v>819</v>
      </c>
      <c r="GCE97" s="975" t="s">
        <v>819</v>
      </c>
      <c r="GCF97" s="975" t="s">
        <v>819</v>
      </c>
      <c r="GCG97" s="975" t="s">
        <v>819</v>
      </c>
      <c r="GCH97" s="975" t="s">
        <v>819</v>
      </c>
      <c r="GCI97" s="975" t="s">
        <v>819</v>
      </c>
      <c r="GCJ97" s="975" t="s">
        <v>819</v>
      </c>
      <c r="GCK97" s="975" t="s">
        <v>819</v>
      </c>
      <c r="GCL97" s="975" t="s">
        <v>819</v>
      </c>
      <c r="GCM97" s="975" t="s">
        <v>819</v>
      </c>
      <c r="GCN97" s="975" t="s">
        <v>819</v>
      </c>
      <c r="GCO97" s="975" t="s">
        <v>819</v>
      </c>
      <c r="GCP97" s="975" t="s">
        <v>819</v>
      </c>
      <c r="GCQ97" s="975" t="s">
        <v>819</v>
      </c>
      <c r="GCR97" s="975" t="s">
        <v>819</v>
      </c>
      <c r="GCS97" s="975" t="s">
        <v>819</v>
      </c>
      <c r="GCT97" s="975" t="s">
        <v>819</v>
      </c>
      <c r="GCU97" s="975" t="s">
        <v>819</v>
      </c>
      <c r="GCV97" s="975" t="s">
        <v>819</v>
      </c>
      <c r="GCW97" s="975" t="s">
        <v>819</v>
      </c>
      <c r="GCX97" s="975" t="s">
        <v>819</v>
      </c>
      <c r="GCY97" s="975" t="s">
        <v>819</v>
      </c>
      <c r="GCZ97" s="975" t="s">
        <v>819</v>
      </c>
      <c r="GDA97" s="975" t="s">
        <v>819</v>
      </c>
      <c r="GDB97" s="975" t="s">
        <v>819</v>
      </c>
      <c r="GDC97" s="975" t="s">
        <v>819</v>
      </c>
      <c r="GDD97" s="975" t="s">
        <v>819</v>
      </c>
      <c r="GDE97" s="975" t="s">
        <v>819</v>
      </c>
      <c r="GDF97" s="975" t="s">
        <v>819</v>
      </c>
      <c r="GDG97" s="975" t="s">
        <v>819</v>
      </c>
      <c r="GDH97" s="975" t="s">
        <v>819</v>
      </c>
      <c r="GDI97" s="975" t="s">
        <v>819</v>
      </c>
      <c r="GDJ97" s="975" t="s">
        <v>819</v>
      </c>
      <c r="GDK97" s="975" t="s">
        <v>819</v>
      </c>
      <c r="GDL97" s="975" t="s">
        <v>819</v>
      </c>
      <c r="GDM97" s="975" t="s">
        <v>819</v>
      </c>
      <c r="GDN97" s="975" t="s">
        <v>819</v>
      </c>
      <c r="GDO97" s="975" t="s">
        <v>819</v>
      </c>
      <c r="GDP97" s="975" t="s">
        <v>819</v>
      </c>
      <c r="GDQ97" s="975" t="s">
        <v>819</v>
      </c>
      <c r="GDR97" s="975" t="s">
        <v>819</v>
      </c>
      <c r="GDS97" s="975" t="s">
        <v>819</v>
      </c>
      <c r="GDT97" s="975" t="s">
        <v>819</v>
      </c>
      <c r="GDU97" s="975" t="s">
        <v>819</v>
      </c>
      <c r="GDV97" s="975" t="s">
        <v>819</v>
      </c>
      <c r="GDW97" s="975" t="s">
        <v>819</v>
      </c>
      <c r="GDX97" s="975" t="s">
        <v>819</v>
      </c>
      <c r="GDY97" s="975" t="s">
        <v>819</v>
      </c>
      <c r="GDZ97" s="975" t="s">
        <v>819</v>
      </c>
      <c r="GEA97" s="975" t="s">
        <v>819</v>
      </c>
      <c r="GEB97" s="975" t="s">
        <v>819</v>
      </c>
      <c r="GEC97" s="975" t="s">
        <v>819</v>
      </c>
      <c r="GED97" s="975" t="s">
        <v>819</v>
      </c>
      <c r="GEE97" s="975" t="s">
        <v>819</v>
      </c>
      <c r="GEF97" s="975" t="s">
        <v>819</v>
      </c>
      <c r="GEG97" s="975" t="s">
        <v>819</v>
      </c>
      <c r="GEH97" s="975" t="s">
        <v>819</v>
      </c>
      <c r="GEI97" s="975" t="s">
        <v>819</v>
      </c>
      <c r="GEJ97" s="975" t="s">
        <v>819</v>
      </c>
      <c r="GEK97" s="975" t="s">
        <v>819</v>
      </c>
      <c r="GEL97" s="975" t="s">
        <v>819</v>
      </c>
      <c r="GEM97" s="975" t="s">
        <v>819</v>
      </c>
      <c r="GEN97" s="975" t="s">
        <v>819</v>
      </c>
      <c r="GEO97" s="975" t="s">
        <v>819</v>
      </c>
      <c r="GEP97" s="975" t="s">
        <v>819</v>
      </c>
      <c r="GEQ97" s="975" t="s">
        <v>819</v>
      </c>
      <c r="GER97" s="975" t="s">
        <v>819</v>
      </c>
      <c r="GES97" s="975" t="s">
        <v>819</v>
      </c>
      <c r="GET97" s="975" t="s">
        <v>819</v>
      </c>
      <c r="GEU97" s="975" t="s">
        <v>819</v>
      </c>
      <c r="GEV97" s="975" t="s">
        <v>819</v>
      </c>
      <c r="GEW97" s="975" t="s">
        <v>819</v>
      </c>
      <c r="GEX97" s="975" t="s">
        <v>819</v>
      </c>
      <c r="GEY97" s="975" t="s">
        <v>819</v>
      </c>
      <c r="GEZ97" s="975" t="s">
        <v>819</v>
      </c>
      <c r="GFA97" s="975" t="s">
        <v>819</v>
      </c>
      <c r="GFB97" s="975" t="s">
        <v>819</v>
      </c>
      <c r="GFC97" s="975" t="s">
        <v>819</v>
      </c>
      <c r="GFD97" s="975" t="s">
        <v>819</v>
      </c>
      <c r="GFE97" s="975" t="s">
        <v>819</v>
      </c>
      <c r="GFF97" s="975" t="s">
        <v>819</v>
      </c>
      <c r="GFG97" s="975" t="s">
        <v>819</v>
      </c>
      <c r="GFH97" s="975" t="s">
        <v>819</v>
      </c>
      <c r="GFI97" s="975" t="s">
        <v>819</v>
      </c>
      <c r="GFJ97" s="975" t="s">
        <v>819</v>
      </c>
      <c r="GFK97" s="975" t="s">
        <v>819</v>
      </c>
      <c r="GFL97" s="975" t="s">
        <v>819</v>
      </c>
      <c r="GFM97" s="975" t="s">
        <v>819</v>
      </c>
      <c r="GFN97" s="975" t="s">
        <v>819</v>
      </c>
      <c r="GFO97" s="975" t="s">
        <v>819</v>
      </c>
      <c r="GFP97" s="975" t="s">
        <v>819</v>
      </c>
      <c r="GFQ97" s="975" t="s">
        <v>819</v>
      </c>
      <c r="GFR97" s="975" t="s">
        <v>819</v>
      </c>
      <c r="GFS97" s="975" t="s">
        <v>819</v>
      </c>
      <c r="GFT97" s="975" t="s">
        <v>819</v>
      </c>
      <c r="GFU97" s="975" t="s">
        <v>819</v>
      </c>
      <c r="GFV97" s="975" t="s">
        <v>819</v>
      </c>
      <c r="GFW97" s="975" t="s">
        <v>819</v>
      </c>
      <c r="GFX97" s="975" t="s">
        <v>819</v>
      </c>
      <c r="GFY97" s="975" t="s">
        <v>819</v>
      </c>
      <c r="GFZ97" s="975" t="s">
        <v>819</v>
      </c>
      <c r="GGA97" s="975" t="s">
        <v>819</v>
      </c>
      <c r="GGB97" s="975" t="s">
        <v>819</v>
      </c>
      <c r="GGC97" s="975" t="s">
        <v>819</v>
      </c>
      <c r="GGD97" s="975" t="s">
        <v>819</v>
      </c>
      <c r="GGE97" s="975" t="s">
        <v>819</v>
      </c>
      <c r="GGF97" s="975" t="s">
        <v>819</v>
      </c>
      <c r="GGG97" s="975" t="s">
        <v>819</v>
      </c>
      <c r="GGH97" s="975" t="s">
        <v>819</v>
      </c>
      <c r="GGI97" s="975" t="s">
        <v>819</v>
      </c>
      <c r="GGJ97" s="975" t="s">
        <v>819</v>
      </c>
      <c r="GGK97" s="975" t="s">
        <v>819</v>
      </c>
      <c r="GGL97" s="975" t="s">
        <v>819</v>
      </c>
      <c r="GGM97" s="975" t="s">
        <v>819</v>
      </c>
      <c r="GGN97" s="975" t="s">
        <v>819</v>
      </c>
      <c r="GGO97" s="975" t="s">
        <v>819</v>
      </c>
      <c r="GGP97" s="975" t="s">
        <v>819</v>
      </c>
      <c r="GGQ97" s="975" t="s">
        <v>819</v>
      </c>
      <c r="GGR97" s="975" t="s">
        <v>819</v>
      </c>
      <c r="GGS97" s="975" t="s">
        <v>819</v>
      </c>
      <c r="GGT97" s="975" t="s">
        <v>819</v>
      </c>
      <c r="GGU97" s="975" t="s">
        <v>819</v>
      </c>
      <c r="GGV97" s="975" t="s">
        <v>819</v>
      </c>
      <c r="GGW97" s="975" t="s">
        <v>819</v>
      </c>
      <c r="GGX97" s="975" t="s">
        <v>819</v>
      </c>
      <c r="GGY97" s="975" t="s">
        <v>819</v>
      </c>
      <c r="GGZ97" s="975" t="s">
        <v>819</v>
      </c>
      <c r="GHA97" s="975" t="s">
        <v>819</v>
      </c>
      <c r="GHB97" s="975" t="s">
        <v>819</v>
      </c>
      <c r="GHC97" s="975" t="s">
        <v>819</v>
      </c>
      <c r="GHD97" s="975" t="s">
        <v>819</v>
      </c>
      <c r="GHE97" s="975" t="s">
        <v>819</v>
      </c>
      <c r="GHF97" s="975" t="s">
        <v>819</v>
      </c>
      <c r="GHG97" s="975" t="s">
        <v>819</v>
      </c>
      <c r="GHH97" s="975" t="s">
        <v>819</v>
      </c>
      <c r="GHI97" s="975" t="s">
        <v>819</v>
      </c>
      <c r="GHJ97" s="975" t="s">
        <v>819</v>
      </c>
      <c r="GHK97" s="975" t="s">
        <v>819</v>
      </c>
      <c r="GHL97" s="975" t="s">
        <v>819</v>
      </c>
      <c r="GHM97" s="975" t="s">
        <v>819</v>
      </c>
      <c r="GHN97" s="975" t="s">
        <v>819</v>
      </c>
      <c r="GHO97" s="975" t="s">
        <v>819</v>
      </c>
      <c r="GHP97" s="975" t="s">
        <v>819</v>
      </c>
      <c r="GHQ97" s="975" t="s">
        <v>819</v>
      </c>
      <c r="GHR97" s="975" t="s">
        <v>819</v>
      </c>
      <c r="GHS97" s="975" t="s">
        <v>819</v>
      </c>
      <c r="GHT97" s="975" t="s">
        <v>819</v>
      </c>
      <c r="GHU97" s="975" t="s">
        <v>819</v>
      </c>
      <c r="GHV97" s="975" t="s">
        <v>819</v>
      </c>
      <c r="GHW97" s="975" t="s">
        <v>819</v>
      </c>
      <c r="GHX97" s="975" t="s">
        <v>819</v>
      </c>
      <c r="GHY97" s="975" t="s">
        <v>819</v>
      </c>
      <c r="GHZ97" s="975" t="s">
        <v>819</v>
      </c>
      <c r="GIA97" s="975" t="s">
        <v>819</v>
      </c>
      <c r="GIB97" s="975" t="s">
        <v>819</v>
      </c>
      <c r="GIC97" s="975" t="s">
        <v>819</v>
      </c>
      <c r="GID97" s="975" t="s">
        <v>819</v>
      </c>
      <c r="GIE97" s="975" t="s">
        <v>819</v>
      </c>
      <c r="GIF97" s="975" t="s">
        <v>819</v>
      </c>
      <c r="GIG97" s="975" t="s">
        <v>819</v>
      </c>
      <c r="GIH97" s="975" t="s">
        <v>819</v>
      </c>
      <c r="GII97" s="975" t="s">
        <v>819</v>
      </c>
      <c r="GIJ97" s="975" t="s">
        <v>819</v>
      </c>
      <c r="GIK97" s="975" t="s">
        <v>819</v>
      </c>
      <c r="GIL97" s="975" t="s">
        <v>819</v>
      </c>
      <c r="GIM97" s="975" t="s">
        <v>819</v>
      </c>
      <c r="GIN97" s="975" t="s">
        <v>819</v>
      </c>
      <c r="GIO97" s="975" t="s">
        <v>819</v>
      </c>
      <c r="GIP97" s="975" t="s">
        <v>819</v>
      </c>
      <c r="GIQ97" s="975" t="s">
        <v>819</v>
      </c>
      <c r="GIR97" s="975" t="s">
        <v>819</v>
      </c>
      <c r="GIS97" s="975" t="s">
        <v>819</v>
      </c>
      <c r="GIT97" s="975" t="s">
        <v>819</v>
      </c>
      <c r="GIU97" s="975" t="s">
        <v>819</v>
      </c>
      <c r="GIV97" s="975" t="s">
        <v>819</v>
      </c>
      <c r="GIW97" s="975" t="s">
        <v>819</v>
      </c>
      <c r="GIX97" s="975" t="s">
        <v>819</v>
      </c>
      <c r="GIY97" s="975" t="s">
        <v>819</v>
      </c>
      <c r="GIZ97" s="975" t="s">
        <v>819</v>
      </c>
      <c r="GJA97" s="975" t="s">
        <v>819</v>
      </c>
      <c r="GJB97" s="975" t="s">
        <v>819</v>
      </c>
      <c r="GJC97" s="975" t="s">
        <v>819</v>
      </c>
      <c r="GJD97" s="975" t="s">
        <v>819</v>
      </c>
      <c r="GJE97" s="975" t="s">
        <v>819</v>
      </c>
      <c r="GJF97" s="975" t="s">
        <v>819</v>
      </c>
      <c r="GJG97" s="975" t="s">
        <v>819</v>
      </c>
      <c r="GJH97" s="975" t="s">
        <v>819</v>
      </c>
      <c r="GJI97" s="975" t="s">
        <v>819</v>
      </c>
      <c r="GJJ97" s="975" t="s">
        <v>819</v>
      </c>
      <c r="GJK97" s="975" t="s">
        <v>819</v>
      </c>
      <c r="GJL97" s="975" t="s">
        <v>819</v>
      </c>
      <c r="GJM97" s="975" t="s">
        <v>819</v>
      </c>
      <c r="GJN97" s="975" t="s">
        <v>819</v>
      </c>
      <c r="GJO97" s="975" t="s">
        <v>819</v>
      </c>
      <c r="GJP97" s="975" t="s">
        <v>819</v>
      </c>
      <c r="GJQ97" s="975" t="s">
        <v>819</v>
      </c>
      <c r="GJR97" s="975" t="s">
        <v>819</v>
      </c>
      <c r="GJS97" s="975" t="s">
        <v>819</v>
      </c>
      <c r="GJT97" s="975" t="s">
        <v>819</v>
      </c>
      <c r="GJU97" s="975" t="s">
        <v>819</v>
      </c>
      <c r="GJV97" s="975" t="s">
        <v>819</v>
      </c>
      <c r="GJW97" s="975" t="s">
        <v>819</v>
      </c>
      <c r="GJX97" s="975" t="s">
        <v>819</v>
      </c>
      <c r="GJY97" s="975" t="s">
        <v>819</v>
      </c>
      <c r="GJZ97" s="975" t="s">
        <v>819</v>
      </c>
      <c r="GKA97" s="975" t="s">
        <v>819</v>
      </c>
      <c r="GKB97" s="975" t="s">
        <v>819</v>
      </c>
      <c r="GKC97" s="975" t="s">
        <v>819</v>
      </c>
      <c r="GKD97" s="975" t="s">
        <v>819</v>
      </c>
      <c r="GKE97" s="975" t="s">
        <v>819</v>
      </c>
      <c r="GKF97" s="975" t="s">
        <v>819</v>
      </c>
      <c r="GKG97" s="975" t="s">
        <v>819</v>
      </c>
      <c r="GKH97" s="975" t="s">
        <v>819</v>
      </c>
      <c r="GKI97" s="975" t="s">
        <v>819</v>
      </c>
      <c r="GKJ97" s="975" t="s">
        <v>819</v>
      </c>
      <c r="GKK97" s="975" t="s">
        <v>819</v>
      </c>
      <c r="GKL97" s="975" t="s">
        <v>819</v>
      </c>
      <c r="GKM97" s="975" t="s">
        <v>819</v>
      </c>
      <c r="GKN97" s="975" t="s">
        <v>819</v>
      </c>
      <c r="GKO97" s="975" t="s">
        <v>819</v>
      </c>
      <c r="GKP97" s="975" t="s">
        <v>819</v>
      </c>
      <c r="GKQ97" s="975" t="s">
        <v>819</v>
      </c>
      <c r="GKR97" s="975" t="s">
        <v>819</v>
      </c>
      <c r="GKS97" s="975" t="s">
        <v>819</v>
      </c>
      <c r="GKT97" s="975" t="s">
        <v>819</v>
      </c>
      <c r="GKU97" s="975" t="s">
        <v>819</v>
      </c>
      <c r="GKV97" s="975" t="s">
        <v>819</v>
      </c>
      <c r="GKW97" s="975" t="s">
        <v>819</v>
      </c>
      <c r="GKX97" s="975" t="s">
        <v>819</v>
      </c>
      <c r="GKY97" s="975" t="s">
        <v>819</v>
      </c>
      <c r="GKZ97" s="975" t="s">
        <v>819</v>
      </c>
      <c r="GLA97" s="975" t="s">
        <v>819</v>
      </c>
      <c r="GLB97" s="975" t="s">
        <v>819</v>
      </c>
      <c r="GLC97" s="975" t="s">
        <v>819</v>
      </c>
      <c r="GLD97" s="975" t="s">
        <v>819</v>
      </c>
      <c r="GLE97" s="975" t="s">
        <v>819</v>
      </c>
      <c r="GLF97" s="975" t="s">
        <v>819</v>
      </c>
      <c r="GLG97" s="975" t="s">
        <v>819</v>
      </c>
      <c r="GLH97" s="975" t="s">
        <v>819</v>
      </c>
      <c r="GLI97" s="975" t="s">
        <v>819</v>
      </c>
      <c r="GLJ97" s="975" t="s">
        <v>819</v>
      </c>
      <c r="GLK97" s="975" t="s">
        <v>819</v>
      </c>
      <c r="GLL97" s="975" t="s">
        <v>819</v>
      </c>
      <c r="GLM97" s="975" t="s">
        <v>819</v>
      </c>
      <c r="GLN97" s="975" t="s">
        <v>819</v>
      </c>
      <c r="GLO97" s="975" t="s">
        <v>819</v>
      </c>
      <c r="GLP97" s="975" t="s">
        <v>819</v>
      </c>
      <c r="GLQ97" s="975" t="s">
        <v>819</v>
      </c>
      <c r="GLR97" s="975" t="s">
        <v>819</v>
      </c>
      <c r="GLS97" s="975" t="s">
        <v>819</v>
      </c>
      <c r="GLT97" s="975" t="s">
        <v>819</v>
      </c>
      <c r="GLU97" s="975" t="s">
        <v>819</v>
      </c>
      <c r="GLV97" s="975" t="s">
        <v>819</v>
      </c>
      <c r="GLW97" s="975" t="s">
        <v>819</v>
      </c>
      <c r="GLX97" s="975" t="s">
        <v>819</v>
      </c>
      <c r="GLY97" s="975" t="s">
        <v>819</v>
      </c>
      <c r="GLZ97" s="975" t="s">
        <v>819</v>
      </c>
      <c r="GMA97" s="975" t="s">
        <v>819</v>
      </c>
      <c r="GMB97" s="975" t="s">
        <v>819</v>
      </c>
      <c r="GMC97" s="975" t="s">
        <v>819</v>
      </c>
      <c r="GMD97" s="975" t="s">
        <v>819</v>
      </c>
      <c r="GME97" s="975" t="s">
        <v>819</v>
      </c>
      <c r="GMF97" s="975" t="s">
        <v>819</v>
      </c>
      <c r="GMG97" s="975" t="s">
        <v>819</v>
      </c>
      <c r="GMH97" s="975" t="s">
        <v>819</v>
      </c>
      <c r="GMI97" s="975" t="s">
        <v>819</v>
      </c>
      <c r="GMJ97" s="975" t="s">
        <v>819</v>
      </c>
      <c r="GMK97" s="975" t="s">
        <v>819</v>
      </c>
      <c r="GML97" s="975" t="s">
        <v>819</v>
      </c>
      <c r="GMM97" s="975" t="s">
        <v>819</v>
      </c>
      <c r="GMN97" s="975" t="s">
        <v>819</v>
      </c>
      <c r="GMO97" s="975" t="s">
        <v>819</v>
      </c>
      <c r="GMP97" s="975" t="s">
        <v>819</v>
      </c>
      <c r="GMQ97" s="975" t="s">
        <v>819</v>
      </c>
      <c r="GMR97" s="975" t="s">
        <v>819</v>
      </c>
      <c r="GMS97" s="975" t="s">
        <v>819</v>
      </c>
      <c r="GMT97" s="975" t="s">
        <v>819</v>
      </c>
      <c r="GMU97" s="975" t="s">
        <v>819</v>
      </c>
      <c r="GMV97" s="975" t="s">
        <v>819</v>
      </c>
      <c r="GMW97" s="975" t="s">
        <v>819</v>
      </c>
      <c r="GMX97" s="975" t="s">
        <v>819</v>
      </c>
      <c r="GMY97" s="975" t="s">
        <v>819</v>
      </c>
      <c r="GMZ97" s="975" t="s">
        <v>819</v>
      </c>
      <c r="GNA97" s="975" t="s">
        <v>819</v>
      </c>
      <c r="GNB97" s="975" t="s">
        <v>819</v>
      </c>
      <c r="GNC97" s="975" t="s">
        <v>819</v>
      </c>
      <c r="GND97" s="975" t="s">
        <v>819</v>
      </c>
      <c r="GNE97" s="975" t="s">
        <v>819</v>
      </c>
      <c r="GNF97" s="975" t="s">
        <v>819</v>
      </c>
      <c r="GNG97" s="975" t="s">
        <v>819</v>
      </c>
      <c r="GNH97" s="975" t="s">
        <v>819</v>
      </c>
      <c r="GNI97" s="975" t="s">
        <v>819</v>
      </c>
      <c r="GNJ97" s="975" t="s">
        <v>819</v>
      </c>
      <c r="GNK97" s="975" t="s">
        <v>819</v>
      </c>
      <c r="GNL97" s="975" t="s">
        <v>819</v>
      </c>
      <c r="GNM97" s="975" t="s">
        <v>819</v>
      </c>
      <c r="GNN97" s="975" t="s">
        <v>819</v>
      </c>
      <c r="GNO97" s="975" t="s">
        <v>819</v>
      </c>
      <c r="GNP97" s="975" t="s">
        <v>819</v>
      </c>
      <c r="GNQ97" s="975" t="s">
        <v>819</v>
      </c>
      <c r="GNR97" s="975" t="s">
        <v>819</v>
      </c>
      <c r="GNS97" s="975" t="s">
        <v>819</v>
      </c>
      <c r="GNT97" s="975" t="s">
        <v>819</v>
      </c>
      <c r="GNU97" s="975" t="s">
        <v>819</v>
      </c>
      <c r="GNV97" s="975" t="s">
        <v>819</v>
      </c>
      <c r="GNW97" s="975" t="s">
        <v>819</v>
      </c>
      <c r="GNX97" s="975" t="s">
        <v>819</v>
      </c>
      <c r="GNY97" s="975" t="s">
        <v>819</v>
      </c>
      <c r="GNZ97" s="975" t="s">
        <v>819</v>
      </c>
      <c r="GOA97" s="975" t="s">
        <v>819</v>
      </c>
      <c r="GOB97" s="975" t="s">
        <v>819</v>
      </c>
      <c r="GOC97" s="975" t="s">
        <v>819</v>
      </c>
      <c r="GOD97" s="975" t="s">
        <v>819</v>
      </c>
      <c r="GOE97" s="975" t="s">
        <v>819</v>
      </c>
      <c r="GOF97" s="975" t="s">
        <v>819</v>
      </c>
      <c r="GOG97" s="975" t="s">
        <v>819</v>
      </c>
      <c r="GOH97" s="975" t="s">
        <v>819</v>
      </c>
      <c r="GOI97" s="975" t="s">
        <v>819</v>
      </c>
      <c r="GOJ97" s="975" t="s">
        <v>819</v>
      </c>
      <c r="GOK97" s="975" t="s">
        <v>819</v>
      </c>
      <c r="GOL97" s="975" t="s">
        <v>819</v>
      </c>
      <c r="GOM97" s="975" t="s">
        <v>819</v>
      </c>
      <c r="GON97" s="975" t="s">
        <v>819</v>
      </c>
      <c r="GOO97" s="975" t="s">
        <v>819</v>
      </c>
      <c r="GOP97" s="975" t="s">
        <v>819</v>
      </c>
      <c r="GOQ97" s="975" t="s">
        <v>819</v>
      </c>
      <c r="GOR97" s="975" t="s">
        <v>819</v>
      </c>
      <c r="GOS97" s="975" t="s">
        <v>819</v>
      </c>
      <c r="GOT97" s="975" t="s">
        <v>819</v>
      </c>
      <c r="GOU97" s="975" t="s">
        <v>819</v>
      </c>
      <c r="GOV97" s="975" t="s">
        <v>819</v>
      </c>
      <c r="GOW97" s="975" t="s">
        <v>819</v>
      </c>
      <c r="GOX97" s="975" t="s">
        <v>819</v>
      </c>
      <c r="GOY97" s="975" t="s">
        <v>819</v>
      </c>
      <c r="GOZ97" s="975" t="s">
        <v>819</v>
      </c>
      <c r="GPA97" s="975" t="s">
        <v>819</v>
      </c>
      <c r="GPB97" s="975" t="s">
        <v>819</v>
      </c>
      <c r="GPC97" s="975" t="s">
        <v>819</v>
      </c>
      <c r="GPD97" s="975" t="s">
        <v>819</v>
      </c>
      <c r="GPE97" s="975" t="s">
        <v>819</v>
      </c>
      <c r="GPF97" s="975" t="s">
        <v>819</v>
      </c>
      <c r="GPG97" s="975" t="s">
        <v>819</v>
      </c>
      <c r="GPH97" s="975" t="s">
        <v>819</v>
      </c>
      <c r="GPI97" s="975" t="s">
        <v>819</v>
      </c>
      <c r="GPJ97" s="975" t="s">
        <v>819</v>
      </c>
      <c r="GPK97" s="975" t="s">
        <v>819</v>
      </c>
      <c r="GPL97" s="975" t="s">
        <v>819</v>
      </c>
      <c r="GPM97" s="975" t="s">
        <v>819</v>
      </c>
      <c r="GPN97" s="975" t="s">
        <v>819</v>
      </c>
      <c r="GPO97" s="975" t="s">
        <v>819</v>
      </c>
      <c r="GPP97" s="975" t="s">
        <v>819</v>
      </c>
      <c r="GPQ97" s="975" t="s">
        <v>819</v>
      </c>
      <c r="GPR97" s="975" t="s">
        <v>819</v>
      </c>
      <c r="GPS97" s="975" t="s">
        <v>819</v>
      </c>
      <c r="GPT97" s="975" t="s">
        <v>819</v>
      </c>
      <c r="GPU97" s="975" t="s">
        <v>819</v>
      </c>
      <c r="GPV97" s="975" t="s">
        <v>819</v>
      </c>
      <c r="GPW97" s="975" t="s">
        <v>819</v>
      </c>
      <c r="GPX97" s="975" t="s">
        <v>819</v>
      </c>
      <c r="GPY97" s="975" t="s">
        <v>819</v>
      </c>
      <c r="GPZ97" s="975" t="s">
        <v>819</v>
      </c>
      <c r="GQA97" s="975" t="s">
        <v>819</v>
      </c>
      <c r="GQB97" s="975" t="s">
        <v>819</v>
      </c>
      <c r="GQC97" s="975" t="s">
        <v>819</v>
      </c>
      <c r="GQD97" s="975" t="s">
        <v>819</v>
      </c>
      <c r="GQE97" s="975" t="s">
        <v>819</v>
      </c>
      <c r="GQF97" s="975" t="s">
        <v>819</v>
      </c>
      <c r="GQG97" s="975" t="s">
        <v>819</v>
      </c>
      <c r="GQH97" s="975" t="s">
        <v>819</v>
      </c>
      <c r="GQI97" s="975" t="s">
        <v>819</v>
      </c>
      <c r="GQJ97" s="975" t="s">
        <v>819</v>
      </c>
      <c r="GQK97" s="975" t="s">
        <v>819</v>
      </c>
      <c r="GQL97" s="975" t="s">
        <v>819</v>
      </c>
      <c r="GQM97" s="975" t="s">
        <v>819</v>
      </c>
      <c r="GQN97" s="975" t="s">
        <v>819</v>
      </c>
      <c r="GQO97" s="975" t="s">
        <v>819</v>
      </c>
      <c r="GQP97" s="975" t="s">
        <v>819</v>
      </c>
      <c r="GQQ97" s="975" t="s">
        <v>819</v>
      </c>
      <c r="GQR97" s="975" t="s">
        <v>819</v>
      </c>
      <c r="GQS97" s="975" t="s">
        <v>819</v>
      </c>
      <c r="GQT97" s="975" t="s">
        <v>819</v>
      </c>
      <c r="GQU97" s="975" t="s">
        <v>819</v>
      </c>
      <c r="GQV97" s="975" t="s">
        <v>819</v>
      </c>
      <c r="GQW97" s="975" t="s">
        <v>819</v>
      </c>
      <c r="GQX97" s="975" t="s">
        <v>819</v>
      </c>
      <c r="GQY97" s="975" t="s">
        <v>819</v>
      </c>
      <c r="GQZ97" s="975" t="s">
        <v>819</v>
      </c>
      <c r="GRA97" s="975" t="s">
        <v>819</v>
      </c>
      <c r="GRB97" s="975" t="s">
        <v>819</v>
      </c>
      <c r="GRC97" s="975" t="s">
        <v>819</v>
      </c>
      <c r="GRD97" s="975" t="s">
        <v>819</v>
      </c>
      <c r="GRE97" s="975" t="s">
        <v>819</v>
      </c>
      <c r="GRF97" s="975" t="s">
        <v>819</v>
      </c>
      <c r="GRG97" s="975" t="s">
        <v>819</v>
      </c>
      <c r="GRH97" s="975" t="s">
        <v>819</v>
      </c>
      <c r="GRI97" s="975" t="s">
        <v>819</v>
      </c>
      <c r="GRJ97" s="975" t="s">
        <v>819</v>
      </c>
      <c r="GRK97" s="975" t="s">
        <v>819</v>
      </c>
      <c r="GRL97" s="975" t="s">
        <v>819</v>
      </c>
      <c r="GRM97" s="975" t="s">
        <v>819</v>
      </c>
      <c r="GRN97" s="975" t="s">
        <v>819</v>
      </c>
      <c r="GRO97" s="975" t="s">
        <v>819</v>
      </c>
      <c r="GRP97" s="975" t="s">
        <v>819</v>
      </c>
      <c r="GRQ97" s="975" t="s">
        <v>819</v>
      </c>
      <c r="GRR97" s="975" t="s">
        <v>819</v>
      </c>
      <c r="GRS97" s="975" t="s">
        <v>819</v>
      </c>
      <c r="GRT97" s="975" t="s">
        <v>819</v>
      </c>
      <c r="GRU97" s="975" t="s">
        <v>819</v>
      </c>
      <c r="GRV97" s="975" t="s">
        <v>819</v>
      </c>
      <c r="GRW97" s="975" t="s">
        <v>819</v>
      </c>
      <c r="GRX97" s="975" t="s">
        <v>819</v>
      </c>
      <c r="GRY97" s="975" t="s">
        <v>819</v>
      </c>
      <c r="GRZ97" s="975" t="s">
        <v>819</v>
      </c>
      <c r="GSA97" s="975" t="s">
        <v>819</v>
      </c>
      <c r="GSB97" s="975" t="s">
        <v>819</v>
      </c>
      <c r="GSC97" s="975" t="s">
        <v>819</v>
      </c>
      <c r="GSD97" s="975" t="s">
        <v>819</v>
      </c>
      <c r="GSE97" s="975" t="s">
        <v>819</v>
      </c>
      <c r="GSF97" s="975" t="s">
        <v>819</v>
      </c>
      <c r="GSG97" s="975" t="s">
        <v>819</v>
      </c>
      <c r="GSH97" s="975" t="s">
        <v>819</v>
      </c>
      <c r="GSI97" s="975" t="s">
        <v>819</v>
      </c>
      <c r="GSJ97" s="975" t="s">
        <v>819</v>
      </c>
      <c r="GSK97" s="975" t="s">
        <v>819</v>
      </c>
      <c r="GSL97" s="975" t="s">
        <v>819</v>
      </c>
      <c r="GSM97" s="975" t="s">
        <v>819</v>
      </c>
      <c r="GSN97" s="975" t="s">
        <v>819</v>
      </c>
      <c r="GSO97" s="975" t="s">
        <v>819</v>
      </c>
      <c r="GSP97" s="975" t="s">
        <v>819</v>
      </c>
      <c r="GSQ97" s="975" t="s">
        <v>819</v>
      </c>
      <c r="GSR97" s="975" t="s">
        <v>819</v>
      </c>
      <c r="GSS97" s="975" t="s">
        <v>819</v>
      </c>
      <c r="GST97" s="975" t="s">
        <v>819</v>
      </c>
      <c r="GSU97" s="975" t="s">
        <v>819</v>
      </c>
      <c r="GSV97" s="975" t="s">
        <v>819</v>
      </c>
      <c r="GSW97" s="975" t="s">
        <v>819</v>
      </c>
      <c r="GSX97" s="975" t="s">
        <v>819</v>
      </c>
      <c r="GSY97" s="975" t="s">
        <v>819</v>
      </c>
      <c r="GSZ97" s="975" t="s">
        <v>819</v>
      </c>
      <c r="GTA97" s="975" t="s">
        <v>819</v>
      </c>
      <c r="GTB97" s="975" t="s">
        <v>819</v>
      </c>
      <c r="GTC97" s="975" t="s">
        <v>819</v>
      </c>
      <c r="GTD97" s="975" t="s">
        <v>819</v>
      </c>
      <c r="GTE97" s="975" t="s">
        <v>819</v>
      </c>
      <c r="GTF97" s="975" t="s">
        <v>819</v>
      </c>
      <c r="GTG97" s="975" t="s">
        <v>819</v>
      </c>
      <c r="GTH97" s="975" t="s">
        <v>819</v>
      </c>
      <c r="GTI97" s="975" t="s">
        <v>819</v>
      </c>
      <c r="GTJ97" s="975" t="s">
        <v>819</v>
      </c>
      <c r="GTK97" s="975" t="s">
        <v>819</v>
      </c>
      <c r="GTL97" s="975" t="s">
        <v>819</v>
      </c>
      <c r="GTM97" s="975" t="s">
        <v>819</v>
      </c>
      <c r="GTN97" s="975" t="s">
        <v>819</v>
      </c>
      <c r="GTO97" s="975" t="s">
        <v>819</v>
      </c>
      <c r="GTP97" s="975" t="s">
        <v>819</v>
      </c>
      <c r="GTQ97" s="975" t="s">
        <v>819</v>
      </c>
      <c r="GTR97" s="975" t="s">
        <v>819</v>
      </c>
      <c r="GTS97" s="975" t="s">
        <v>819</v>
      </c>
      <c r="GTT97" s="975" t="s">
        <v>819</v>
      </c>
      <c r="GTU97" s="975" t="s">
        <v>819</v>
      </c>
      <c r="GTV97" s="975" t="s">
        <v>819</v>
      </c>
      <c r="GTW97" s="975" t="s">
        <v>819</v>
      </c>
      <c r="GTX97" s="975" t="s">
        <v>819</v>
      </c>
      <c r="GTY97" s="975" t="s">
        <v>819</v>
      </c>
      <c r="GTZ97" s="975" t="s">
        <v>819</v>
      </c>
      <c r="GUA97" s="975" t="s">
        <v>819</v>
      </c>
      <c r="GUB97" s="975" t="s">
        <v>819</v>
      </c>
      <c r="GUC97" s="975" t="s">
        <v>819</v>
      </c>
      <c r="GUD97" s="975" t="s">
        <v>819</v>
      </c>
      <c r="GUE97" s="975" t="s">
        <v>819</v>
      </c>
      <c r="GUF97" s="975" t="s">
        <v>819</v>
      </c>
      <c r="GUG97" s="975" t="s">
        <v>819</v>
      </c>
      <c r="GUH97" s="975" t="s">
        <v>819</v>
      </c>
      <c r="GUI97" s="975" t="s">
        <v>819</v>
      </c>
      <c r="GUJ97" s="975" t="s">
        <v>819</v>
      </c>
      <c r="GUK97" s="975" t="s">
        <v>819</v>
      </c>
      <c r="GUL97" s="975" t="s">
        <v>819</v>
      </c>
      <c r="GUM97" s="975" t="s">
        <v>819</v>
      </c>
      <c r="GUN97" s="975" t="s">
        <v>819</v>
      </c>
      <c r="GUO97" s="975" t="s">
        <v>819</v>
      </c>
      <c r="GUP97" s="975" t="s">
        <v>819</v>
      </c>
      <c r="GUQ97" s="975" t="s">
        <v>819</v>
      </c>
      <c r="GUR97" s="975" t="s">
        <v>819</v>
      </c>
      <c r="GUS97" s="975" t="s">
        <v>819</v>
      </c>
      <c r="GUT97" s="975" t="s">
        <v>819</v>
      </c>
      <c r="GUU97" s="975" t="s">
        <v>819</v>
      </c>
      <c r="GUV97" s="975" t="s">
        <v>819</v>
      </c>
      <c r="GUW97" s="975" t="s">
        <v>819</v>
      </c>
      <c r="GUX97" s="975" t="s">
        <v>819</v>
      </c>
      <c r="GUY97" s="975" t="s">
        <v>819</v>
      </c>
      <c r="GUZ97" s="975" t="s">
        <v>819</v>
      </c>
      <c r="GVA97" s="975" t="s">
        <v>819</v>
      </c>
      <c r="GVB97" s="975" t="s">
        <v>819</v>
      </c>
      <c r="GVC97" s="975" t="s">
        <v>819</v>
      </c>
      <c r="GVD97" s="975" t="s">
        <v>819</v>
      </c>
      <c r="GVE97" s="975" t="s">
        <v>819</v>
      </c>
      <c r="GVF97" s="975" t="s">
        <v>819</v>
      </c>
      <c r="GVG97" s="975" t="s">
        <v>819</v>
      </c>
      <c r="GVH97" s="975" t="s">
        <v>819</v>
      </c>
      <c r="GVI97" s="975" t="s">
        <v>819</v>
      </c>
      <c r="GVJ97" s="975" t="s">
        <v>819</v>
      </c>
      <c r="GVK97" s="975" t="s">
        <v>819</v>
      </c>
      <c r="GVL97" s="975" t="s">
        <v>819</v>
      </c>
      <c r="GVM97" s="975" t="s">
        <v>819</v>
      </c>
      <c r="GVN97" s="975" t="s">
        <v>819</v>
      </c>
      <c r="GVO97" s="975" t="s">
        <v>819</v>
      </c>
      <c r="GVP97" s="975" t="s">
        <v>819</v>
      </c>
      <c r="GVQ97" s="975" t="s">
        <v>819</v>
      </c>
      <c r="GVR97" s="975" t="s">
        <v>819</v>
      </c>
      <c r="GVS97" s="975" t="s">
        <v>819</v>
      </c>
      <c r="GVT97" s="975" t="s">
        <v>819</v>
      </c>
      <c r="GVU97" s="975" t="s">
        <v>819</v>
      </c>
      <c r="GVV97" s="975" t="s">
        <v>819</v>
      </c>
      <c r="GVW97" s="975" t="s">
        <v>819</v>
      </c>
      <c r="GVX97" s="975" t="s">
        <v>819</v>
      </c>
      <c r="GVY97" s="975" t="s">
        <v>819</v>
      </c>
      <c r="GVZ97" s="975" t="s">
        <v>819</v>
      </c>
      <c r="GWA97" s="975" t="s">
        <v>819</v>
      </c>
      <c r="GWB97" s="975" t="s">
        <v>819</v>
      </c>
      <c r="GWC97" s="975" t="s">
        <v>819</v>
      </c>
      <c r="GWD97" s="975" t="s">
        <v>819</v>
      </c>
      <c r="GWE97" s="975" t="s">
        <v>819</v>
      </c>
      <c r="GWF97" s="975" t="s">
        <v>819</v>
      </c>
      <c r="GWG97" s="975" t="s">
        <v>819</v>
      </c>
      <c r="GWH97" s="975" t="s">
        <v>819</v>
      </c>
      <c r="GWI97" s="975" t="s">
        <v>819</v>
      </c>
      <c r="GWJ97" s="975" t="s">
        <v>819</v>
      </c>
      <c r="GWK97" s="975" t="s">
        <v>819</v>
      </c>
      <c r="GWL97" s="975" t="s">
        <v>819</v>
      </c>
      <c r="GWM97" s="975" t="s">
        <v>819</v>
      </c>
      <c r="GWN97" s="975" t="s">
        <v>819</v>
      </c>
      <c r="GWO97" s="975" t="s">
        <v>819</v>
      </c>
      <c r="GWP97" s="975" t="s">
        <v>819</v>
      </c>
      <c r="GWQ97" s="975" t="s">
        <v>819</v>
      </c>
      <c r="GWR97" s="975" t="s">
        <v>819</v>
      </c>
      <c r="GWS97" s="975" t="s">
        <v>819</v>
      </c>
      <c r="GWT97" s="975" t="s">
        <v>819</v>
      </c>
      <c r="GWU97" s="975" t="s">
        <v>819</v>
      </c>
      <c r="GWV97" s="975" t="s">
        <v>819</v>
      </c>
      <c r="GWW97" s="975" t="s">
        <v>819</v>
      </c>
      <c r="GWX97" s="975" t="s">
        <v>819</v>
      </c>
      <c r="GWY97" s="975" t="s">
        <v>819</v>
      </c>
      <c r="GWZ97" s="975" t="s">
        <v>819</v>
      </c>
      <c r="GXA97" s="975" t="s">
        <v>819</v>
      </c>
      <c r="GXB97" s="975" t="s">
        <v>819</v>
      </c>
      <c r="GXC97" s="975" t="s">
        <v>819</v>
      </c>
      <c r="GXD97" s="975" t="s">
        <v>819</v>
      </c>
      <c r="GXE97" s="975" t="s">
        <v>819</v>
      </c>
      <c r="GXF97" s="975" t="s">
        <v>819</v>
      </c>
      <c r="GXG97" s="975" t="s">
        <v>819</v>
      </c>
      <c r="GXH97" s="975" t="s">
        <v>819</v>
      </c>
      <c r="GXI97" s="975" t="s">
        <v>819</v>
      </c>
      <c r="GXJ97" s="975" t="s">
        <v>819</v>
      </c>
      <c r="GXK97" s="975" t="s">
        <v>819</v>
      </c>
      <c r="GXL97" s="975" t="s">
        <v>819</v>
      </c>
      <c r="GXM97" s="975" t="s">
        <v>819</v>
      </c>
      <c r="GXN97" s="975" t="s">
        <v>819</v>
      </c>
      <c r="GXO97" s="975" t="s">
        <v>819</v>
      </c>
      <c r="GXP97" s="975" t="s">
        <v>819</v>
      </c>
      <c r="GXQ97" s="975" t="s">
        <v>819</v>
      </c>
      <c r="GXR97" s="975" t="s">
        <v>819</v>
      </c>
      <c r="GXS97" s="975" t="s">
        <v>819</v>
      </c>
      <c r="GXT97" s="975" t="s">
        <v>819</v>
      </c>
      <c r="GXU97" s="975" t="s">
        <v>819</v>
      </c>
      <c r="GXV97" s="975" t="s">
        <v>819</v>
      </c>
      <c r="GXW97" s="975" t="s">
        <v>819</v>
      </c>
      <c r="GXX97" s="975" t="s">
        <v>819</v>
      </c>
      <c r="GXY97" s="975" t="s">
        <v>819</v>
      </c>
      <c r="GXZ97" s="975" t="s">
        <v>819</v>
      </c>
      <c r="GYA97" s="975" t="s">
        <v>819</v>
      </c>
      <c r="GYB97" s="975" t="s">
        <v>819</v>
      </c>
      <c r="GYC97" s="975" t="s">
        <v>819</v>
      </c>
      <c r="GYD97" s="975" t="s">
        <v>819</v>
      </c>
      <c r="GYE97" s="975" t="s">
        <v>819</v>
      </c>
      <c r="GYF97" s="975" t="s">
        <v>819</v>
      </c>
      <c r="GYG97" s="975" t="s">
        <v>819</v>
      </c>
      <c r="GYH97" s="975" t="s">
        <v>819</v>
      </c>
      <c r="GYI97" s="975" t="s">
        <v>819</v>
      </c>
      <c r="GYJ97" s="975" t="s">
        <v>819</v>
      </c>
      <c r="GYK97" s="975" t="s">
        <v>819</v>
      </c>
      <c r="GYL97" s="975" t="s">
        <v>819</v>
      </c>
      <c r="GYM97" s="975" t="s">
        <v>819</v>
      </c>
      <c r="GYN97" s="975" t="s">
        <v>819</v>
      </c>
      <c r="GYO97" s="975" t="s">
        <v>819</v>
      </c>
      <c r="GYP97" s="975" t="s">
        <v>819</v>
      </c>
      <c r="GYQ97" s="975" t="s">
        <v>819</v>
      </c>
      <c r="GYR97" s="975" t="s">
        <v>819</v>
      </c>
      <c r="GYS97" s="975" t="s">
        <v>819</v>
      </c>
      <c r="GYT97" s="975" t="s">
        <v>819</v>
      </c>
      <c r="GYU97" s="975" t="s">
        <v>819</v>
      </c>
      <c r="GYV97" s="975" t="s">
        <v>819</v>
      </c>
      <c r="GYW97" s="975" t="s">
        <v>819</v>
      </c>
      <c r="GYX97" s="975" t="s">
        <v>819</v>
      </c>
      <c r="GYY97" s="975" t="s">
        <v>819</v>
      </c>
      <c r="GYZ97" s="975" t="s">
        <v>819</v>
      </c>
      <c r="GZA97" s="975" t="s">
        <v>819</v>
      </c>
      <c r="GZB97" s="975" t="s">
        <v>819</v>
      </c>
      <c r="GZC97" s="975" t="s">
        <v>819</v>
      </c>
      <c r="GZD97" s="975" t="s">
        <v>819</v>
      </c>
      <c r="GZE97" s="975" t="s">
        <v>819</v>
      </c>
      <c r="GZF97" s="975" t="s">
        <v>819</v>
      </c>
      <c r="GZG97" s="975" t="s">
        <v>819</v>
      </c>
      <c r="GZH97" s="975" t="s">
        <v>819</v>
      </c>
      <c r="GZI97" s="975" t="s">
        <v>819</v>
      </c>
      <c r="GZJ97" s="975" t="s">
        <v>819</v>
      </c>
      <c r="GZK97" s="975" t="s">
        <v>819</v>
      </c>
      <c r="GZL97" s="975" t="s">
        <v>819</v>
      </c>
      <c r="GZM97" s="975" t="s">
        <v>819</v>
      </c>
      <c r="GZN97" s="975" t="s">
        <v>819</v>
      </c>
      <c r="GZO97" s="975" t="s">
        <v>819</v>
      </c>
      <c r="GZP97" s="975" t="s">
        <v>819</v>
      </c>
      <c r="GZQ97" s="975" t="s">
        <v>819</v>
      </c>
      <c r="GZR97" s="975" t="s">
        <v>819</v>
      </c>
      <c r="GZS97" s="975" t="s">
        <v>819</v>
      </c>
      <c r="GZT97" s="975" t="s">
        <v>819</v>
      </c>
      <c r="GZU97" s="975" t="s">
        <v>819</v>
      </c>
      <c r="GZV97" s="975" t="s">
        <v>819</v>
      </c>
      <c r="GZW97" s="975" t="s">
        <v>819</v>
      </c>
      <c r="GZX97" s="975" t="s">
        <v>819</v>
      </c>
      <c r="GZY97" s="975" t="s">
        <v>819</v>
      </c>
      <c r="GZZ97" s="975" t="s">
        <v>819</v>
      </c>
      <c r="HAA97" s="975" t="s">
        <v>819</v>
      </c>
      <c r="HAB97" s="975" t="s">
        <v>819</v>
      </c>
      <c r="HAC97" s="975" t="s">
        <v>819</v>
      </c>
      <c r="HAD97" s="975" t="s">
        <v>819</v>
      </c>
      <c r="HAE97" s="975" t="s">
        <v>819</v>
      </c>
      <c r="HAF97" s="975" t="s">
        <v>819</v>
      </c>
      <c r="HAG97" s="975" t="s">
        <v>819</v>
      </c>
      <c r="HAH97" s="975" t="s">
        <v>819</v>
      </c>
      <c r="HAI97" s="975" t="s">
        <v>819</v>
      </c>
      <c r="HAJ97" s="975" t="s">
        <v>819</v>
      </c>
      <c r="HAK97" s="975" t="s">
        <v>819</v>
      </c>
      <c r="HAL97" s="975" t="s">
        <v>819</v>
      </c>
      <c r="HAM97" s="975" t="s">
        <v>819</v>
      </c>
      <c r="HAN97" s="975" t="s">
        <v>819</v>
      </c>
      <c r="HAO97" s="975" t="s">
        <v>819</v>
      </c>
      <c r="HAP97" s="975" t="s">
        <v>819</v>
      </c>
      <c r="HAQ97" s="975" t="s">
        <v>819</v>
      </c>
      <c r="HAR97" s="975" t="s">
        <v>819</v>
      </c>
      <c r="HAS97" s="975" t="s">
        <v>819</v>
      </c>
      <c r="HAT97" s="975" t="s">
        <v>819</v>
      </c>
      <c r="HAU97" s="975" t="s">
        <v>819</v>
      </c>
      <c r="HAV97" s="975" t="s">
        <v>819</v>
      </c>
      <c r="HAW97" s="975" t="s">
        <v>819</v>
      </c>
      <c r="HAX97" s="975" t="s">
        <v>819</v>
      </c>
      <c r="HAY97" s="975" t="s">
        <v>819</v>
      </c>
      <c r="HAZ97" s="975" t="s">
        <v>819</v>
      </c>
      <c r="HBA97" s="975" t="s">
        <v>819</v>
      </c>
      <c r="HBB97" s="975" t="s">
        <v>819</v>
      </c>
      <c r="HBC97" s="975" t="s">
        <v>819</v>
      </c>
      <c r="HBD97" s="975" t="s">
        <v>819</v>
      </c>
      <c r="HBE97" s="975" t="s">
        <v>819</v>
      </c>
      <c r="HBF97" s="975" t="s">
        <v>819</v>
      </c>
      <c r="HBG97" s="975" t="s">
        <v>819</v>
      </c>
      <c r="HBH97" s="975" t="s">
        <v>819</v>
      </c>
      <c r="HBI97" s="975" t="s">
        <v>819</v>
      </c>
      <c r="HBJ97" s="975" t="s">
        <v>819</v>
      </c>
      <c r="HBK97" s="975" t="s">
        <v>819</v>
      </c>
      <c r="HBL97" s="975" t="s">
        <v>819</v>
      </c>
      <c r="HBM97" s="975" t="s">
        <v>819</v>
      </c>
      <c r="HBN97" s="975" t="s">
        <v>819</v>
      </c>
      <c r="HBO97" s="975" t="s">
        <v>819</v>
      </c>
      <c r="HBP97" s="975" t="s">
        <v>819</v>
      </c>
      <c r="HBQ97" s="975" t="s">
        <v>819</v>
      </c>
      <c r="HBR97" s="975" t="s">
        <v>819</v>
      </c>
      <c r="HBS97" s="975" t="s">
        <v>819</v>
      </c>
      <c r="HBT97" s="975" t="s">
        <v>819</v>
      </c>
      <c r="HBU97" s="975" t="s">
        <v>819</v>
      </c>
      <c r="HBV97" s="975" t="s">
        <v>819</v>
      </c>
      <c r="HBW97" s="975" t="s">
        <v>819</v>
      </c>
      <c r="HBX97" s="975" t="s">
        <v>819</v>
      </c>
      <c r="HBY97" s="975" t="s">
        <v>819</v>
      </c>
      <c r="HBZ97" s="975" t="s">
        <v>819</v>
      </c>
      <c r="HCA97" s="975" t="s">
        <v>819</v>
      </c>
      <c r="HCB97" s="975" t="s">
        <v>819</v>
      </c>
      <c r="HCC97" s="975" t="s">
        <v>819</v>
      </c>
      <c r="HCD97" s="975" t="s">
        <v>819</v>
      </c>
      <c r="HCE97" s="975" t="s">
        <v>819</v>
      </c>
      <c r="HCF97" s="975" t="s">
        <v>819</v>
      </c>
      <c r="HCG97" s="975" t="s">
        <v>819</v>
      </c>
      <c r="HCH97" s="975" t="s">
        <v>819</v>
      </c>
      <c r="HCI97" s="975" t="s">
        <v>819</v>
      </c>
      <c r="HCJ97" s="975" t="s">
        <v>819</v>
      </c>
      <c r="HCK97" s="975" t="s">
        <v>819</v>
      </c>
      <c r="HCL97" s="975" t="s">
        <v>819</v>
      </c>
      <c r="HCM97" s="975" t="s">
        <v>819</v>
      </c>
      <c r="HCN97" s="975" t="s">
        <v>819</v>
      </c>
      <c r="HCO97" s="975" t="s">
        <v>819</v>
      </c>
      <c r="HCP97" s="975" t="s">
        <v>819</v>
      </c>
      <c r="HCQ97" s="975" t="s">
        <v>819</v>
      </c>
      <c r="HCR97" s="975" t="s">
        <v>819</v>
      </c>
      <c r="HCS97" s="975" t="s">
        <v>819</v>
      </c>
      <c r="HCT97" s="975" t="s">
        <v>819</v>
      </c>
      <c r="HCU97" s="975" t="s">
        <v>819</v>
      </c>
      <c r="HCV97" s="975" t="s">
        <v>819</v>
      </c>
      <c r="HCW97" s="975" t="s">
        <v>819</v>
      </c>
      <c r="HCX97" s="975" t="s">
        <v>819</v>
      </c>
      <c r="HCY97" s="975" t="s">
        <v>819</v>
      </c>
      <c r="HCZ97" s="975" t="s">
        <v>819</v>
      </c>
      <c r="HDA97" s="975" t="s">
        <v>819</v>
      </c>
      <c r="HDB97" s="975" t="s">
        <v>819</v>
      </c>
      <c r="HDC97" s="975" t="s">
        <v>819</v>
      </c>
      <c r="HDD97" s="975" t="s">
        <v>819</v>
      </c>
      <c r="HDE97" s="975" t="s">
        <v>819</v>
      </c>
      <c r="HDF97" s="975" t="s">
        <v>819</v>
      </c>
      <c r="HDG97" s="975" t="s">
        <v>819</v>
      </c>
      <c r="HDH97" s="975" t="s">
        <v>819</v>
      </c>
      <c r="HDI97" s="975" t="s">
        <v>819</v>
      </c>
      <c r="HDJ97" s="975" t="s">
        <v>819</v>
      </c>
      <c r="HDK97" s="975" t="s">
        <v>819</v>
      </c>
      <c r="HDL97" s="975" t="s">
        <v>819</v>
      </c>
      <c r="HDM97" s="975" t="s">
        <v>819</v>
      </c>
      <c r="HDN97" s="975" t="s">
        <v>819</v>
      </c>
      <c r="HDO97" s="975" t="s">
        <v>819</v>
      </c>
      <c r="HDP97" s="975" t="s">
        <v>819</v>
      </c>
      <c r="HDQ97" s="975" t="s">
        <v>819</v>
      </c>
      <c r="HDR97" s="975" t="s">
        <v>819</v>
      </c>
      <c r="HDS97" s="975" t="s">
        <v>819</v>
      </c>
      <c r="HDT97" s="975" t="s">
        <v>819</v>
      </c>
      <c r="HDU97" s="975" t="s">
        <v>819</v>
      </c>
      <c r="HDV97" s="975" t="s">
        <v>819</v>
      </c>
      <c r="HDW97" s="975" t="s">
        <v>819</v>
      </c>
      <c r="HDX97" s="975" t="s">
        <v>819</v>
      </c>
      <c r="HDY97" s="975" t="s">
        <v>819</v>
      </c>
      <c r="HDZ97" s="975" t="s">
        <v>819</v>
      </c>
      <c r="HEA97" s="975" t="s">
        <v>819</v>
      </c>
      <c r="HEB97" s="975" t="s">
        <v>819</v>
      </c>
      <c r="HEC97" s="975" t="s">
        <v>819</v>
      </c>
      <c r="HED97" s="975" t="s">
        <v>819</v>
      </c>
      <c r="HEE97" s="975" t="s">
        <v>819</v>
      </c>
      <c r="HEF97" s="975" t="s">
        <v>819</v>
      </c>
      <c r="HEG97" s="975" t="s">
        <v>819</v>
      </c>
      <c r="HEH97" s="975" t="s">
        <v>819</v>
      </c>
      <c r="HEI97" s="975" t="s">
        <v>819</v>
      </c>
      <c r="HEJ97" s="975" t="s">
        <v>819</v>
      </c>
      <c r="HEK97" s="975" t="s">
        <v>819</v>
      </c>
      <c r="HEL97" s="975" t="s">
        <v>819</v>
      </c>
      <c r="HEM97" s="975" t="s">
        <v>819</v>
      </c>
      <c r="HEN97" s="975" t="s">
        <v>819</v>
      </c>
      <c r="HEO97" s="975" t="s">
        <v>819</v>
      </c>
      <c r="HEP97" s="975" t="s">
        <v>819</v>
      </c>
      <c r="HEQ97" s="975" t="s">
        <v>819</v>
      </c>
      <c r="HER97" s="975" t="s">
        <v>819</v>
      </c>
      <c r="HES97" s="975" t="s">
        <v>819</v>
      </c>
      <c r="HET97" s="975" t="s">
        <v>819</v>
      </c>
      <c r="HEU97" s="975" t="s">
        <v>819</v>
      </c>
      <c r="HEV97" s="975" t="s">
        <v>819</v>
      </c>
      <c r="HEW97" s="975" t="s">
        <v>819</v>
      </c>
      <c r="HEX97" s="975" t="s">
        <v>819</v>
      </c>
      <c r="HEY97" s="975" t="s">
        <v>819</v>
      </c>
      <c r="HEZ97" s="975" t="s">
        <v>819</v>
      </c>
      <c r="HFA97" s="975" t="s">
        <v>819</v>
      </c>
      <c r="HFB97" s="975" t="s">
        <v>819</v>
      </c>
      <c r="HFC97" s="975" t="s">
        <v>819</v>
      </c>
      <c r="HFD97" s="975" t="s">
        <v>819</v>
      </c>
      <c r="HFE97" s="975" t="s">
        <v>819</v>
      </c>
      <c r="HFF97" s="975" t="s">
        <v>819</v>
      </c>
      <c r="HFG97" s="975" t="s">
        <v>819</v>
      </c>
      <c r="HFH97" s="975" t="s">
        <v>819</v>
      </c>
      <c r="HFI97" s="975" t="s">
        <v>819</v>
      </c>
      <c r="HFJ97" s="975" t="s">
        <v>819</v>
      </c>
      <c r="HFK97" s="975" t="s">
        <v>819</v>
      </c>
      <c r="HFL97" s="975" t="s">
        <v>819</v>
      </c>
      <c r="HFM97" s="975" t="s">
        <v>819</v>
      </c>
      <c r="HFN97" s="975" t="s">
        <v>819</v>
      </c>
      <c r="HFO97" s="975" t="s">
        <v>819</v>
      </c>
      <c r="HFP97" s="975" t="s">
        <v>819</v>
      </c>
      <c r="HFQ97" s="975" t="s">
        <v>819</v>
      </c>
      <c r="HFR97" s="975" t="s">
        <v>819</v>
      </c>
      <c r="HFS97" s="975" t="s">
        <v>819</v>
      </c>
      <c r="HFT97" s="975" t="s">
        <v>819</v>
      </c>
      <c r="HFU97" s="975" t="s">
        <v>819</v>
      </c>
      <c r="HFV97" s="975" t="s">
        <v>819</v>
      </c>
      <c r="HFW97" s="975" t="s">
        <v>819</v>
      </c>
      <c r="HFX97" s="975" t="s">
        <v>819</v>
      </c>
      <c r="HFY97" s="975" t="s">
        <v>819</v>
      </c>
      <c r="HFZ97" s="975" t="s">
        <v>819</v>
      </c>
      <c r="HGA97" s="975" t="s">
        <v>819</v>
      </c>
      <c r="HGB97" s="975" t="s">
        <v>819</v>
      </c>
      <c r="HGC97" s="975" t="s">
        <v>819</v>
      </c>
      <c r="HGD97" s="975" t="s">
        <v>819</v>
      </c>
      <c r="HGE97" s="975" t="s">
        <v>819</v>
      </c>
      <c r="HGF97" s="975" t="s">
        <v>819</v>
      </c>
      <c r="HGG97" s="975" t="s">
        <v>819</v>
      </c>
      <c r="HGH97" s="975" t="s">
        <v>819</v>
      </c>
      <c r="HGI97" s="975" t="s">
        <v>819</v>
      </c>
      <c r="HGJ97" s="975" t="s">
        <v>819</v>
      </c>
      <c r="HGK97" s="975" t="s">
        <v>819</v>
      </c>
      <c r="HGL97" s="975" t="s">
        <v>819</v>
      </c>
      <c r="HGM97" s="975" t="s">
        <v>819</v>
      </c>
      <c r="HGN97" s="975" t="s">
        <v>819</v>
      </c>
      <c r="HGO97" s="975" t="s">
        <v>819</v>
      </c>
      <c r="HGP97" s="975" t="s">
        <v>819</v>
      </c>
      <c r="HGQ97" s="975" t="s">
        <v>819</v>
      </c>
      <c r="HGR97" s="975" t="s">
        <v>819</v>
      </c>
      <c r="HGS97" s="975" t="s">
        <v>819</v>
      </c>
      <c r="HGT97" s="975" t="s">
        <v>819</v>
      </c>
      <c r="HGU97" s="975" t="s">
        <v>819</v>
      </c>
      <c r="HGV97" s="975" t="s">
        <v>819</v>
      </c>
      <c r="HGW97" s="975" t="s">
        <v>819</v>
      </c>
      <c r="HGX97" s="975" t="s">
        <v>819</v>
      </c>
      <c r="HGY97" s="975" t="s">
        <v>819</v>
      </c>
      <c r="HGZ97" s="975" t="s">
        <v>819</v>
      </c>
      <c r="HHA97" s="975" t="s">
        <v>819</v>
      </c>
      <c r="HHB97" s="975" t="s">
        <v>819</v>
      </c>
      <c r="HHC97" s="975" t="s">
        <v>819</v>
      </c>
      <c r="HHD97" s="975" t="s">
        <v>819</v>
      </c>
      <c r="HHE97" s="975" t="s">
        <v>819</v>
      </c>
      <c r="HHF97" s="975" t="s">
        <v>819</v>
      </c>
      <c r="HHG97" s="975" t="s">
        <v>819</v>
      </c>
      <c r="HHH97" s="975" t="s">
        <v>819</v>
      </c>
      <c r="HHI97" s="975" t="s">
        <v>819</v>
      </c>
      <c r="HHJ97" s="975" t="s">
        <v>819</v>
      </c>
      <c r="HHK97" s="975" t="s">
        <v>819</v>
      </c>
      <c r="HHL97" s="975" t="s">
        <v>819</v>
      </c>
      <c r="HHM97" s="975" t="s">
        <v>819</v>
      </c>
      <c r="HHN97" s="975" t="s">
        <v>819</v>
      </c>
      <c r="HHO97" s="975" t="s">
        <v>819</v>
      </c>
      <c r="HHP97" s="975" t="s">
        <v>819</v>
      </c>
      <c r="HHQ97" s="975" t="s">
        <v>819</v>
      </c>
      <c r="HHR97" s="975" t="s">
        <v>819</v>
      </c>
      <c r="HHS97" s="975" t="s">
        <v>819</v>
      </c>
      <c r="HHT97" s="975" t="s">
        <v>819</v>
      </c>
      <c r="HHU97" s="975" t="s">
        <v>819</v>
      </c>
      <c r="HHV97" s="975" t="s">
        <v>819</v>
      </c>
      <c r="HHW97" s="975" t="s">
        <v>819</v>
      </c>
      <c r="HHX97" s="975" t="s">
        <v>819</v>
      </c>
      <c r="HHY97" s="975" t="s">
        <v>819</v>
      </c>
      <c r="HHZ97" s="975" t="s">
        <v>819</v>
      </c>
      <c r="HIA97" s="975" t="s">
        <v>819</v>
      </c>
      <c r="HIB97" s="975" t="s">
        <v>819</v>
      </c>
      <c r="HIC97" s="975" t="s">
        <v>819</v>
      </c>
      <c r="HID97" s="975" t="s">
        <v>819</v>
      </c>
      <c r="HIE97" s="975" t="s">
        <v>819</v>
      </c>
      <c r="HIF97" s="975" t="s">
        <v>819</v>
      </c>
      <c r="HIG97" s="975" t="s">
        <v>819</v>
      </c>
      <c r="HIH97" s="975" t="s">
        <v>819</v>
      </c>
      <c r="HII97" s="975" t="s">
        <v>819</v>
      </c>
      <c r="HIJ97" s="975" t="s">
        <v>819</v>
      </c>
      <c r="HIK97" s="975" t="s">
        <v>819</v>
      </c>
      <c r="HIL97" s="975" t="s">
        <v>819</v>
      </c>
      <c r="HIM97" s="975" t="s">
        <v>819</v>
      </c>
      <c r="HIN97" s="975" t="s">
        <v>819</v>
      </c>
      <c r="HIO97" s="975" t="s">
        <v>819</v>
      </c>
      <c r="HIP97" s="975" t="s">
        <v>819</v>
      </c>
      <c r="HIQ97" s="975" t="s">
        <v>819</v>
      </c>
      <c r="HIR97" s="975" t="s">
        <v>819</v>
      </c>
      <c r="HIS97" s="975" t="s">
        <v>819</v>
      </c>
      <c r="HIT97" s="975" t="s">
        <v>819</v>
      </c>
      <c r="HIU97" s="975" t="s">
        <v>819</v>
      </c>
      <c r="HIV97" s="975" t="s">
        <v>819</v>
      </c>
      <c r="HIW97" s="975" t="s">
        <v>819</v>
      </c>
      <c r="HIX97" s="975" t="s">
        <v>819</v>
      </c>
      <c r="HIY97" s="975" t="s">
        <v>819</v>
      </c>
      <c r="HIZ97" s="975" t="s">
        <v>819</v>
      </c>
      <c r="HJA97" s="975" t="s">
        <v>819</v>
      </c>
      <c r="HJB97" s="975" t="s">
        <v>819</v>
      </c>
      <c r="HJC97" s="975" t="s">
        <v>819</v>
      </c>
      <c r="HJD97" s="975" t="s">
        <v>819</v>
      </c>
      <c r="HJE97" s="975" t="s">
        <v>819</v>
      </c>
      <c r="HJF97" s="975" t="s">
        <v>819</v>
      </c>
      <c r="HJG97" s="975" t="s">
        <v>819</v>
      </c>
      <c r="HJH97" s="975" t="s">
        <v>819</v>
      </c>
      <c r="HJI97" s="975" t="s">
        <v>819</v>
      </c>
      <c r="HJJ97" s="975" t="s">
        <v>819</v>
      </c>
      <c r="HJK97" s="975" t="s">
        <v>819</v>
      </c>
      <c r="HJL97" s="975" t="s">
        <v>819</v>
      </c>
      <c r="HJM97" s="975" t="s">
        <v>819</v>
      </c>
      <c r="HJN97" s="975" t="s">
        <v>819</v>
      </c>
      <c r="HJO97" s="975" t="s">
        <v>819</v>
      </c>
      <c r="HJP97" s="975" t="s">
        <v>819</v>
      </c>
      <c r="HJQ97" s="975" t="s">
        <v>819</v>
      </c>
      <c r="HJR97" s="975" t="s">
        <v>819</v>
      </c>
      <c r="HJS97" s="975" t="s">
        <v>819</v>
      </c>
      <c r="HJT97" s="975" t="s">
        <v>819</v>
      </c>
      <c r="HJU97" s="975" t="s">
        <v>819</v>
      </c>
      <c r="HJV97" s="975" t="s">
        <v>819</v>
      </c>
      <c r="HJW97" s="975" t="s">
        <v>819</v>
      </c>
      <c r="HJX97" s="975" t="s">
        <v>819</v>
      </c>
      <c r="HJY97" s="975" t="s">
        <v>819</v>
      </c>
      <c r="HJZ97" s="975" t="s">
        <v>819</v>
      </c>
      <c r="HKA97" s="975" t="s">
        <v>819</v>
      </c>
      <c r="HKB97" s="975" t="s">
        <v>819</v>
      </c>
      <c r="HKC97" s="975" t="s">
        <v>819</v>
      </c>
      <c r="HKD97" s="975" t="s">
        <v>819</v>
      </c>
      <c r="HKE97" s="975" t="s">
        <v>819</v>
      </c>
      <c r="HKF97" s="975" t="s">
        <v>819</v>
      </c>
      <c r="HKG97" s="975" t="s">
        <v>819</v>
      </c>
      <c r="HKH97" s="975" t="s">
        <v>819</v>
      </c>
      <c r="HKI97" s="975" t="s">
        <v>819</v>
      </c>
      <c r="HKJ97" s="975" t="s">
        <v>819</v>
      </c>
      <c r="HKK97" s="975" t="s">
        <v>819</v>
      </c>
      <c r="HKL97" s="975" t="s">
        <v>819</v>
      </c>
      <c r="HKM97" s="975" t="s">
        <v>819</v>
      </c>
      <c r="HKN97" s="975" t="s">
        <v>819</v>
      </c>
      <c r="HKO97" s="975" t="s">
        <v>819</v>
      </c>
      <c r="HKP97" s="975" t="s">
        <v>819</v>
      </c>
      <c r="HKQ97" s="975" t="s">
        <v>819</v>
      </c>
      <c r="HKR97" s="975" t="s">
        <v>819</v>
      </c>
      <c r="HKS97" s="975" t="s">
        <v>819</v>
      </c>
      <c r="HKT97" s="975" t="s">
        <v>819</v>
      </c>
      <c r="HKU97" s="975" t="s">
        <v>819</v>
      </c>
      <c r="HKV97" s="975" t="s">
        <v>819</v>
      </c>
      <c r="HKW97" s="975" t="s">
        <v>819</v>
      </c>
      <c r="HKX97" s="975" t="s">
        <v>819</v>
      </c>
      <c r="HKY97" s="975" t="s">
        <v>819</v>
      </c>
      <c r="HKZ97" s="975" t="s">
        <v>819</v>
      </c>
      <c r="HLA97" s="975" t="s">
        <v>819</v>
      </c>
      <c r="HLB97" s="975" t="s">
        <v>819</v>
      </c>
      <c r="HLC97" s="975" t="s">
        <v>819</v>
      </c>
      <c r="HLD97" s="975" t="s">
        <v>819</v>
      </c>
      <c r="HLE97" s="975" t="s">
        <v>819</v>
      </c>
      <c r="HLF97" s="975" t="s">
        <v>819</v>
      </c>
      <c r="HLG97" s="975" t="s">
        <v>819</v>
      </c>
      <c r="HLH97" s="975" t="s">
        <v>819</v>
      </c>
      <c r="HLI97" s="975" t="s">
        <v>819</v>
      </c>
      <c r="HLJ97" s="975" t="s">
        <v>819</v>
      </c>
      <c r="HLK97" s="975" t="s">
        <v>819</v>
      </c>
      <c r="HLL97" s="975" t="s">
        <v>819</v>
      </c>
      <c r="HLM97" s="975" t="s">
        <v>819</v>
      </c>
      <c r="HLN97" s="975" t="s">
        <v>819</v>
      </c>
      <c r="HLO97" s="975" t="s">
        <v>819</v>
      </c>
      <c r="HLP97" s="975" t="s">
        <v>819</v>
      </c>
      <c r="HLQ97" s="975" t="s">
        <v>819</v>
      </c>
      <c r="HLR97" s="975" t="s">
        <v>819</v>
      </c>
      <c r="HLS97" s="975" t="s">
        <v>819</v>
      </c>
      <c r="HLT97" s="975" t="s">
        <v>819</v>
      </c>
      <c r="HLU97" s="975" t="s">
        <v>819</v>
      </c>
      <c r="HLV97" s="975" t="s">
        <v>819</v>
      </c>
      <c r="HLW97" s="975" t="s">
        <v>819</v>
      </c>
      <c r="HLX97" s="975" t="s">
        <v>819</v>
      </c>
      <c r="HLY97" s="975" t="s">
        <v>819</v>
      </c>
      <c r="HLZ97" s="975" t="s">
        <v>819</v>
      </c>
      <c r="HMA97" s="975" t="s">
        <v>819</v>
      </c>
      <c r="HMB97" s="975" t="s">
        <v>819</v>
      </c>
      <c r="HMC97" s="975" t="s">
        <v>819</v>
      </c>
      <c r="HMD97" s="975" t="s">
        <v>819</v>
      </c>
      <c r="HME97" s="975" t="s">
        <v>819</v>
      </c>
      <c r="HMF97" s="975" t="s">
        <v>819</v>
      </c>
      <c r="HMG97" s="975" t="s">
        <v>819</v>
      </c>
      <c r="HMH97" s="975" t="s">
        <v>819</v>
      </c>
      <c r="HMI97" s="975" t="s">
        <v>819</v>
      </c>
      <c r="HMJ97" s="975" t="s">
        <v>819</v>
      </c>
      <c r="HMK97" s="975" t="s">
        <v>819</v>
      </c>
      <c r="HML97" s="975" t="s">
        <v>819</v>
      </c>
      <c r="HMM97" s="975" t="s">
        <v>819</v>
      </c>
      <c r="HMN97" s="975" t="s">
        <v>819</v>
      </c>
      <c r="HMO97" s="975" t="s">
        <v>819</v>
      </c>
      <c r="HMP97" s="975" t="s">
        <v>819</v>
      </c>
      <c r="HMQ97" s="975" t="s">
        <v>819</v>
      </c>
      <c r="HMR97" s="975" t="s">
        <v>819</v>
      </c>
      <c r="HMS97" s="975" t="s">
        <v>819</v>
      </c>
      <c r="HMT97" s="975" t="s">
        <v>819</v>
      </c>
      <c r="HMU97" s="975" t="s">
        <v>819</v>
      </c>
      <c r="HMV97" s="975" t="s">
        <v>819</v>
      </c>
      <c r="HMW97" s="975" t="s">
        <v>819</v>
      </c>
      <c r="HMX97" s="975" t="s">
        <v>819</v>
      </c>
      <c r="HMY97" s="975" t="s">
        <v>819</v>
      </c>
      <c r="HMZ97" s="975" t="s">
        <v>819</v>
      </c>
      <c r="HNA97" s="975" t="s">
        <v>819</v>
      </c>
      <c r="HNB97" s="975" t="s">
        <v>819</v>
      </c>
      <c r="HNC97" s="975" t="s">
        <v>819</v>
      </c>
      <c r="HND97" s="975" t="s">
        <v>819</v>
      </c>
      <c r="HNE97" s="975" t="s">
        <v>819</v>
      </c>
      <c r="HNF97" s="975" t="s">
        <v>819</v>
      </c>
      <c r="HNG97" s="975" t="s">
        <v>819</v>
      </c>
      <c r="HNH97" s="975" t="s">
        <v>819</v>
      </c>
      <c r="HNI97" s="975" t="s">
        <v>819</v>
      </c>
      <c r="HNJ97" s="975" t="s">
        <v>819</v>
      </c>
      <c r="HNK97" s="975" t="s">
        <v>819</v>
      </c>
      <c r="HNL97" s="975" t="s">
        <v>819</v>
      </c>
      <c r="HNM97" s="975" t="s">
        <v>819</v>
      </c>
      <c r="HNN97" s="975" t="s">
        <v>819</v>
      </c>
      <c r="HNO97" s="975" t="s">
        <v>819</v>
      </c>
      <c r="HNP97" s="975" t="s">
        <v>819</v>
      </c>
      <c r="HNQ97" s="975" t="s">
        <v>819</v>
      </c>
      <c r="HNR97" s="975" t="s">
        <v>819</v>
      </c>
      <c r="HNS97" s="975" t="s">
        <v>819</v>
      </c>
      <c r="HNT97" s="975" t="s">
        <v>819</v>
      </c>
      <c r="HNU97" s="975" t="s">
        <v>819</v>
      </c>
      <c r="HNV97" s="975" t="s">
        <v>819</v>
      </c>
      <c r="HNW97" s="975" t="s">
        <v>819</v>
      </c>
      <c r="HNX97" s="975" t="s">
        <v>819</v>
      </c>
      <c r="HNY97" s="975" t="s">
        <v>819</v>
      </c>
      <c r="HNZ97" s="975" t="s">
        <v>819</v>
      </c>
      <c r="HOA97" s="975" t="s">
        <v>819</v>
      </c>
      <c r="HOB97" s="975" t="s">
        <v>819</v>
      </c>
      <c r="HOC97" s="975" t="s">
        <v>819</v>
      </c>
      <c r="HOD97" s="975" t="s">
        <v>819</v>
      </c>
      <c r="HOE97" s="975" t="s">
        <v>819</v>
      </c>
      <c r="HOF97" s="975" t="s">
        <v>819</v>
      </c>
      <c r="HOG97" s="975" t="s">
        <v>819</v>
      </c>
      <c r="HOH97" s="975" t="s">
        <v>819</v>
      </c>
      <c r="HOI97" s="975" t="s">
        <v>819</v>
      </c>
      <c r="HOJ97" s="975" t="s">
        <v>819</v>
      </c>
      <c r="HOK97" s="975" t="s">
        <v>819</v>
      </c>
      <c r="HOL97" s="975" t="s">
        <v>819</v>
      </c>
      <c r="HOM97" s="975" t="s">
        <v>819</v>
      </c>
      <c r="HON97" s="975" t="s">
        <v>819</v>
      </c>
      <c r="HOO97" s="975" t="s">
        <v>819</v>
      </c>
      <c r="HOP97" s="975" t="s">
        <v>819</v>
      </c>
      <c r="HOQ97" s="975" t="s">
        <v>819</v>
      </c>
      <c r="HOR97" s="975" t="s">
        <v>819</v>
      </c>
      <c r="HOS97" s="975" t="s">
        <v>819</v>
      </c>
      <c r="HOT97" s="975" t="s">
        <v>819</v>
      </c>
      <c r="HOU97" s="975" t="s">
        <v>819</v>
      </c>
      <c r="HOV97" s="975" t="s">
        <v>819</v>
      </c>
      <c r="HOW97" s="975" t="s">
        <v>819</v>
      </c>
      <c r="HOX97" s="975" t="s">
        <v>819</v>
      </c>
      <c r="HOY97" s="975" t="s">
        <v>819</v>
      </c>
      <c r="HOZ97" s="975" t="s">
        <v>819</v>
      </c>
      <c r="HPA97" s="975" t="s">
        <v>819</v>
      </c>
      <c r="HPB97" s="975" t="s">
        <v>819</v>
      </c>
      <c r="HPC97" s="975" t="s">
        <v>819</v>
      </c>
      <c r="HPD97" s="975" t="s">
        <v>819</v>
      </c>
      <c r="HPE97" s="975" t="s">
        <v>819</v>
      </c>
      <c r="HPF97" s="975" t="s">
        <v>819</v>
      </c>
      <c r="HPG97" s="975" t="s">
        <v>819</v>
      </c>
      <c r="HPH97" s="975" t="s">
        <v>819</v>
      </c>
      <c r="HPI97" s="975" t="s">
        <v>819</v>
      </c>
      <c r="HPJ97" s="975" t="s">
        <v>819</v>
      </c>
      <c r="HPK97" s="975" t="s">
        <v>819</v>
      </c>
      <c r="HPL97" s="975" t="s">
        <v>819</v>
      </c>
      <c r="HPM97" s="975" t="s">
        <v>819</v>
      </c>
      <c r="HPN97" s="975" t="s">
        <v>819</v>
      </c>
      <c r="HPO97" s="975" t="s">
        <v>819</v>
      </c>
      <c r="HPP97" s="975" t="s">
        <v>819</v>
      </c>
      <c r="HPQ97" s="975" t="s">
        <v>819</v>
      </c>
      <c r="HPR97" s="975" t="s">
        <v>819</v>
      </c>
      <c r="HPS97" s="975" t="s">
        <v>819</v>
      </c>
      <c r="HPT97" s="975" t="s">
        <v>819</v>
      </c>
      <c r="HPU97" s="975" t="s">
        <v>819</v>
      </c>
      <c r="HPV97" s="975" t="s">
        <v>819</v>
      </c>
      <c r="HPW97" s="975" t="s">
        <v>819</v>
      </c>
      <c r="HPX97" s="975" t="s">
        <v>819</v>
      </c>
      <c r="HPY97" s="975" t="s">
        <v>819</v>
      </c>
      <c r="HPZ97" s="975" t="s">
        <v>819</v>
      </c>
      <c r="HQA97" s="975" t="s">
        <v>819</v>
      </c>
      <c r="HQB97" s="975" t="s">
        <v>819</v>
      </c>
      <c r="HQC97" s="975" t="s">
        <v>819</v>
      </c>
      <c r="HQD97" s="975" t="s">
        <v>819</v>
      </c>
      <c r="HQE97" s="975" t="s">
        <v>819</v>
      </c>
      <c r="HQF97" s="975" t="s">
        <v>819</v>
      </c>
      <c r="HQG97" s="975" t="s">
        <v>819</v>
      </c>
      <c r="HQH97" s="975" t="s">
        <v>819</v>
      </c>
      <c r="HQI97" s="975" t="s">
        <v>819</v>
      </c>
      <c r="HQJ97" s="975" t="s">
        <v>819</v>
      </c>
      <c r="HQK97" s="975" t="s">
        <v>819</v>
      </c>
      <c r="HQL97" s="975" t="s">
        <v>819</v>
      </c>
      <c r="HQM97" s="975" t="s">
        <v>819</v>
      </c>
      <c r="HQN97" s="975" t="s">
        <v>819</v>
      </c>
      <c r="HQO97" s="975" t="s">
        <v>819</v>
      </c>
      <c r="HQP97" s="975" t="s">
        <v>819</v>
      </c>
      <c r="HQQ97" s="975" t="s">
        <v>819</v>
      </c>
      <c r="HQR97" s="975" t="s">
        <v>819</v>
      </c>
      <c r="HQS97" s="975" t="s">
        <v>819</v>
      </c>
      <c r="HQT97" s="975" t="s">
        <v>819</v>
      </c>
      <c r="HQU97" s="975" t="s">
        <v>819</v>
      </c>
      <c r="HQV97" s="975" t="s">
        <v>819</v>
      </c>
      <c r="HQW97" s="975" t="s">
        <v>819</v>
      </c>
      <c r="HQX97" s="975" t="s">
        <v>819</v>
      </c>
      <c r="HQY97" s="975" t="s">
        <v>819</v>
      </c>
      <c r="HQZ97" s="975" t="s">
        <v>819</v>
      </c>
      <c r="HRA97" s="975" t="s">
        <v>819</v>
      </c>
      <c r="HRB97" s="975" t="s">
        <v>819</v>
      </c>
      <c r="HRC97" s="975" t="s">
        <v>819</v>
      </c>
      <c r="HRD97" s="975" t="s">
        <v>819</v>
      </c>
      <c r="HRE97" s="975" t="s">
        <v>819</v>
      </c>
      <c r="HRF97" s="975" t="s">
        <v>819</v>
      </c>
      <c r="HRG97" s="975" t="s">
        <v>819</v>
      </c>
      <c r="HRH97" s="975" t="s">
        <v>819</v>
      </c>
      <c r="HRI97" s="975" t="s">
        <v>819</v>
      </c>
      <c r="HRJ97" s="975" t="s">
        <v>819</v>
      </c>
      <c r="HRK97" s="975" t="s">
        <v>819</v>
      </c>
      <c r="HRL97" s="975" t="s">
        <v>819</v>
      </c>
      <c r="HRM97" s="975" t="s">
        <v>819</v>
      </c>
      <c r="HRN97" s="975" t="s">
        <v>819</v>
      </c>
      <c r="HRO97" s="975" t="s">
        <v>819</v>
      </c>
      <c r="HRP97" s="975" t="s">
        <v>819</v>
      </c>
      <c r="HRQ97" s="975" t="s">
        <v>819</v>
      </c>
      <c r="HRR97" s="975" t="s">
        <v>819</v>
      </c>
      <c r="HRS97" s="975" t="s">
        <v>819</v>
      </c>
      <c r="HRT97" s="975" t="s">
        <v>819</v>
      </c>
      <c r="HRU97" s="975" t="s">
        <v>819</v>
      </c>
      <c r="HRV97" s="975" t="s">
        <v>819</v>
      </c>
      <c r="HRW97" s="975" t="s">
        <v>819</v>
      </c>
      <c r="HRX97" s="975" t="s">
        <v>819</v>
      </c>
      <c r="HRY97" s="975" t="s">
        <v>819</v>
      </c>
      <c r="HRZ97" s="975" t="s">
        <v>819</v>
      </c>
      <c r="HSA97" s="975" t="s">
        <v>819</v>
      </c>
      <c r="HSB97" s="975" t="s">
        <v>819</v>
      </c>
      <c r="HSC97" s="975" t="s">
        <v>819</v>
      </c>
      <c r="HSD97" s="975" t="s">
        <v>819</v>
      </c>
      <c r="HSE97" s="975" t="s">
        <v>819</v>
      </c>
      <c r="HSF97" s="975" t="s">
        <v>819</v>
      </c>
      <c r="HSG97" s="975" t="s">
        <v>819</v>
      </c>
      <c r="HSH97" s="975" t="s">
        <v>819</v>
      </c>
      <c r="HSI97" s="975" t="s">
        <v>819</v>
      </c>
      <c r="HSJ97" s="975" t="s">
        <v>819</v>
      </c>
      <c r="HSK97" s="975" t="s">
        <v>819</v>
      </c>
      <c r="HSL97" s="975" t="s">
        <v>819</v>
      </c>
      <c r="HSM97" s="975" t="s">
        <v>819</v>
      </c>
      <c r="HSN97" s="975" t="s">
        <v>819</v>
      </c>
      <c r="HSO97" s="975" t="s">
        <v>819</v>
      </c>
      <c r="HSP97" s="975" t="s">
        <v>819</v>
      </c>
      <c r="HSQ97" s="975" t="s">
        <v>819</v>
      </c>
      <c r="HSR97" s="975" t="s">
        <v>819</v>
      </c>
      <c r="HSS97" s="975" t="s">
        <v>819</v>
      </c>
      <c r="HST97" s="975" t="s">
        <v>819</v>
      </c>
      <c r="HSU97" s="975" t="s">
        <v>819</v>
      </c>
      <c r="HSV97" s="975" t="s">
        <v>819</v>
      </c>
      <c r="HSW97" s="975" t="s">
        <v>819</v>
      </c>
      <c r="HSX97" s="975" t="s">
        <v>819</v>
      </c>
      <c r="HSY97" s="975" t="s">
        <v>819</v>
      </c>
      <c r="HSZ97" s="975" t="s">
        <v>819</v>
      </c>
      <c r="HTA97" s="975" t="s">
        <v>819</v>
      </c>
      <c r="HTB97" s="975" t="s">
        <v>819</v>
      </c>
      <c r="HTC97" s="975" t="s">
        <v>819</v>
      </c>
      <c r="HTD97" s="975" t="s">
        <v>819</v>
      </c>
      <c r="HTE97" s="975" t="s">
        <v>819</v>
      </c>
      <c r="HTF97" s="975" t="s">
        <v>819</v>
      </c>
      <c r="HTG97" s="975" t="s">
        <v>819</v>
      </c>
      <c r="HTH97" s="975" t="s">
        <v>819</v>
      </c>
      <c r="HTI97" s="975" t="s">
        <v>819</v>
      </c>
      <c r="HTJ97" s="975" t="s">
        <v>819</v>
      </c>
      <c r="HTK97" s="975" t="s">
        <v>819</v>
      </c>
      <c r="HTL97" s="975" t="s">
        <v>819</v>
      </c>
      <c r="HTM97" s="975" t="s">
        <v>819</v>
      </c>
      <c r="HTN97" s="975" t="s">
        <v>819</v>
      </c>
      <c r="HTO97" s="975" t="s">
        <v>819</v>
      </c>
      <c r="HTP97" s="975" t="s">
        <v>819</v>
      </c>
      <c r="HTQ97" s="975" t="s">
        <v>819</v>
      </c>
      <c r="HTR97" s="975" t="s">
        <v>819</v>
      </c>
      <c r="HTS97" s="975" t="s">
        <v>819</v>
      </c>
      <c r="HTT97" s="975" t="s">
        <v>819</v>
      </c>
      <c r="HTU97" s="975" t="s">
        <v>819</v>
      </c>
      <c r="HTV97" s="975" t="s">
        <v>819</v>
      </c>
      <c r="HTW97" s="975" t="s">
        <v>819</v>
      </c>
      <c r="HTX97" s="975" t="s">
        <v>819</v>
      </c>
      <c r="HTY97" s="975" t="s">
        <v>819</v>
      </c>
      <c r="HTZ97" s="975" t="s">
        <v>819</v>
      </c>
      <c r="HUA97" s="975" t="s">
        <v>819</v>
      </c>
      <c r="HUB97" s="975" t="s">
        <v>819</v>
      </c>
      <c r="HUC97" s="975" t="s">
        <v>819</v>
      </c>
      <c r="HUD97" s="975" t="s">
        <v>819</v>
      </c>
      <c r="HUE97" s="975" t="s">
        <v>819</v>
      </c>
      <c r="HUF97" s="975" t="s">
        <v>819</v>
      </c>
      <c r="HUG97" s="975" t="s">
        <v>819</v>
      </c>
      <c r="HUH97" s="975" t="s">
        <v>819</v>
      </c>
      <c r="HUI97" s="975" t="s">
        <v>819</v>
      </c>
      <c r="HUJ97" s="975" t="s">
        <v>819</v>
      </c>
      <c r="HUK97" s="975" t="s">
        <v>819</v>
      </c>
      <c r="HUL97" s="975" t="s">
        <v>819</v>
      </c>
      <c r="HUM97" s="975" t="s">
        <v>819</v>
      </c>
      <c r="HUN97" s="975" t="s">
        <v>819</v>
      </c>
      <c r="HUO97" s="975" t="s">
        <v>819</v>
      </c>
      <c r="HUP97" s="975" t="s">
        <v>819</v>
      </c>
      <c r="HUQ97" s="975" t="s">
        <v>819</v>
      </c>
      <c r="HUR97" s="975" t="s">
        <v>819</v>
      </c>
      <c r="HUS97" s="975" t="s">
        <v>819</v>
      </c>
      <c r="HUT97" s="975" t="s">
        <v>819</v>
      </c>
      <c r="HUU97" s="975" t="s">
        <v>819</v>
      </c>
      <c r="HUV97" s="975" t="s">
        <v>819</v>
      </c>
      <c r="HUW97" s="975" t="s">
        <v>819</v>
      </c>
      <c r="HUX97" s="975" t="s">
        <v>819</v>
      </c>
      <c r="HUY97" s="975" t="s">
        <v>819</v>
      </c>
      <c r="HUZ97" s="975" t="s">
        <v>819</v>
      </c>
      <c r="HVA97" s="975" t="s">
        <v>819</v>
      </c>
      <c r="HVB97" s="975" t="s">
        <v>819</v>
      </c>
      <c r="HVC97" s="975" t="s">
        <v>819</v>
      </c>
      <c r="HVD97" s="975" t="s">
        <v>819</v>
      </c>
      <c r="HVE97" s="975" t="s">
        <v>819</v>
      </c>
      <c r="HVF97" s="975" t="s">
        <v>819</v>
      </c>
      <c r="HVG97" s="975" t="s">
        <v>819</v>
      </c>
      <c r="HVH97" s="975" t="s">
        <v>819</v>
      </c>
      <c r="HVI97" s="975" t="s">
        <v>819</v>
      </c>
      <c r="HVJ97" s="975" t="s">
        <v>819</v>
      </c>
      <c r="HVK97" s="975" t="s">
        <v>819</v>
      </c>
      <c r="HVL97" s="975" t="s">
        <v>819</v>
      </c>
      <c r="HVM97" s="975" t="s">
        <v>819</v>
      </c>
      <c r="HVN97" s="975" t="s">
        <v>819</v>
      </c>
      <c r="HVO97" s="975" t="s">
        <v>819</v>
      </c>
      <c r="HVP97" s="975" t="s">
        <v>819</v>
      </c>
      <c r="HVQ97" s="975" t="s">
        <v>819</v>
      </c>
      <c r="HVR97" s="975" t="s">
        <v>819</v>
      </c>
      <c r="HVS97" s="975" t="s">
        <v>819</v>
      </c>
      <c r="HVT97" s="975" t="s">
        <v>819</v>
      </c>
      <c r="HVU97" s="975" t="s">
        <v>819</v>
      </c>
      <c r="HVV97" s="975" t="s">
        <v>819</v>
      </c>
      <c r="HVW97" s="975" t="s">
        <v>819</v>
      </c>
      <c r="HVX97" s="975" t="s">
        <v>819</v>
      </c>
      <c r="HVY97" s="975" t="s">
        <v>819</v>
      </c>
      <c r="HVZ97" s="975" t="s">
        <v>819</v>
      </c>
      <c r="HWA97" s="975" t="s">
        <v>819</v>
      </c>
      <c r="HWB97" s="975" t="s">
        <v>819</v>
      </c>
      <c r="HWC97" s="975" t="s">
        <v>819</v>
      </c>
      <c r="HWD97" s="975" t="s">
        <v>819</v>
      </c>
      <c r="HWE97" s="975" t="s">
        <v>819</v>
      </c>
      <c r="HWF97" s="975" t="s">
        <v>819</v>
      </c>
      <c r="HWG97" s="975" t="s">
        <v>819</v>
      </c>
      <c r="HWH97" s="975" t="s">
        <v>819</v>
      </c>
      <c r="HWI97" s="975" t="s">
        <v>819</v>
      </c>
      <c r="HWJ97" s="975" t="s">
        <v>819</v>
      </c>
      <c r="HWK97" s="975" t="s">
        <v>819</v>
      </c>
      <c r="HWL97" s="975" t="s">
        <v>819</v>
      </c>
      <c r="HWM97" s="975" t="s">
        <v>819</v>
      </c>
      <c r="HWN97" s="975" t="s">
        <v>819</v>
      </c>
      <c r="HWO97" s="975" t="s">
        <v>819</v>
      </c>
      <c r="HWP97" s="975" t="s">
        <v>819</v>
      </c>
      <c r="HWQ97" s="975" t="s">
        <v>819</v>
      </c>
      <c r="HWR97" s="975" t="s">
        <v>819</v>
      </c>
      <c r="HWS97" s="975" t="s">
        <v>819</v>
      </c>
      <c r="HWT97" s="975" t="s">
        <v>819</v>
      </c>
      <c r="HWU97" s="975" t="s">
        <v>819</v>
      </c>
      <c r="HWV97" s="975" t="s">
        <v>819</v>
      </c>
      <c r="HWW97" s="975" t="s">
        <v>819</v>
      </c>
      <c r="HWX97" s="975" t="s">
        <v>819</v>
      </c>
      <c r="HWY97" s="975" t="s">
        <v>819</v>
      </c>
      <c r="HWZ97" s="975" t="s">
        <v>819</v>
      </c>
      <c r="HXA97" s="975" t="s">
        <v>819</v>
      </c>
      <c r="HXB97" s="975" t="s">
        <v>819</v>
      </c>
      <c r="HXC97" s="975" t="s">
        <v>819</v>
      </c>
      <c r="HXD97" s="975" t="s">
        <v>819</v>
      </c>
      <c r="HXE97" s="975" t="s">
        <v>819</v>
      </c>
      <c r="HXF97" s="975" t="s">
        <v>819</v>
      </c>
      <c r="HXG97" s="975" t="s">
        <v>819</v>
      </c>
      <c r="HXH97" s="975" t="s">
        <v>819</v>
      </c>
      <c r="HXI97" s="975" t="s">
        <v>819</v>
      </c>
      <c r="HXJ97" s="975" t="s">
        <v>819</v>
      </c>
      <c r="HXK97" s="975" t="s">
        <v>819</v>
      </c>
      <c r="HXL97" s="975" t="s">
        <v>819</v>
      </c>
      <c r="HXM97" s="975" t="s">
        <v>819</v>
      </c>
      <c r="HXN97" s="975" t="s">
        <v>819</v>
      </c>
      <c r="HXO97" s="975" t="s">
        <v>819</v>
      </c>
      <c r="HXP97" s="975" t="s">
        <v>819</v>
      </c>
      <c r="HXQ97" s="975" t="s">
        <v>819</v>
      </c>
      <c r="HXR97" s="975" t="s">
        <v>819</v>
      </c>
      <c r="HXS97" s="975" t="s">
        <v>819</v>
      </c>
      <c r="HXT97" s="975" t="s">
        <v>819</v>
      </c>
      <c r="HXU97" s="975" t="s">
        <v>819</v>
      </c>
      <c r="HXV97" s="975" t="s">
        <v>819</v>
      </c>
      <c r="HXW97" s="975" t="s">
        <v>819</v>
      </c>
      <c r="HXX97" s="975" t="s">
        <v>819</v>
      </c>
      <c r="HXY97" s="975" t="s">
        <v>819</v>
      </c>
      <c r="HXZ97" s="975" t="s">
        <v>819</v>
      </c>
      <c r="HYA97" s="975" t="s">
        <v>819</v>
      </c>
      <c r="HYB97" s="975" t="s">
        <v>819</v>
      </c>
      <c r="HYC97" s="975" t="s">
        <v>819</v>
      </c>
      <c r="HYD97" s="975" t="s">
        <v>819</v>
      </c>
      <c r="HYE97" s="975" t="s">
        <v>819</v>
      </c>
      <c r="HYF97" s="975" t="s">
        <v>819</v>
      </c>
      <c r="HYG97" s="975" t="s">
        <v>819</v>
      </c>
      <c r="HYH97" s="975" t="s">
        <v>819</v>
      </c>
      <c r="HYI97" s="975" t="s">
        <v>819</v>
      </c>
      <c r="HYJ97" s="975" t="s">
        <v>819</v>
      </c>
      <c r="HYK97" s="975" t="s">
        <v>819</v>
      </c>
      <c r="HYL97" s="975" t="s">
        <v>819</v>
      </c>
      <c r="HYM97" s="975" t="s">
        <v>819</v>
      </c>
      <c r="HYN97" s="975" t="s">
        <v>819</v>
      </c>
      <c r="HYO97" s="975" t="s">
        <v>819</v>
      </c>
      <c r="HYP97" s="975" t="s">
        <v>819</v>
      </c>
      <c r="HYQ97" s="975" t="s">
        <v>819</v>
      </c>
      <c r="HYR97" s="975" t="s">
        <v>819</v>
      </c>
      <c r="HYS97" s="975" t="s">
        <v>819</v>
      </c>
      <c r="HYT97" s="975" t="s">
        <v>819</v>
      </c>
      <c r="HYU97" s="975" t="s">
        <v>819</v>
      </c>
      <c r="HYV97" s="975" t="s">
        <v>819</v>
      </c>
      <c r="HYW97" s="975" t="s">
        <v>819</v>
      </c>
      <c r="HYX97" s="975" t="s">
        <v>819</v>
      </c>
      <c r="HYY97" s="975" t="s">
        <v>819</v>
      </c>
      <c r="HYZ97" s="975" t="s">
        <v>819</v>
      </c>
      <c r="HZA97" s="975" t="s">
        <v>819</v>
      </c>
      <c r="HZB97" s="975" t="s">
        <v>819</v>
      </c>
      <c r="HZC97" s="975" t="s">
        <v>819</v>
      </c>
      <c r="HZD97" s="975" t="s">
        <v>819</v>
      </c>
      <c r="HZE97" s="975" t="s">
        <v>819</v>
      </c>
      <c r="HZF97" s="975" t="s">
        <v>819</v>
      </c>
      <c r="HZG97" s="975" t="s">
        <v>819</v>
      </c>
      <c r="HZH97" s="975" t="s">
        <v>819</v>
      </c>
      <c r="HZI97" s="975" t="s">
        <v>819</v>
      </c>
      <c r="HZJ97" s="975" t="s">
        <v>819</v>
      </c>
      <c r="HZK97" s="975" t="s">
        <v>819</v>
      </c>
      <c r="HZL97" s="975" t="s">
        <v>819</v>
      </c>
      <c r="HZM97" s="975" t="s">
        <v>819</v>
      </c>
      <c r="HZN97" s="975" t="s">
        <v>819</v>
      </c>
      <c r="HZO97" s="975" t="s">
        <v>819</v>
      </c>
      <c r="HZP97" s="975" t="s">
        <v>819</v>
      </c>
      <c r="HZQ97" s="975" t="s">
        <v>819</v>
      </c>
      <c r="HZR97" s="975" t="s">
        <v>819</v>
      </c>
      <c r="HZS97" s="975" t="s">
        <v>819</v>
      </c>
      <c r="HZT97" s="975" t="s">
        <v>819</v>
      </c>
      <c r="HZU97" s="975" t="s">
        <v>819</v>
      </c>
      <c r="HZV97" s="975" t="s">
        <v>819</v>
      </c>
      <c r="HZW97" s="975" t="s">
        <v>819</v>
      </c>
      <c r="HZX97" s="975" t="s">
        <v>819</v>
      </c>
      <c r="HZY97" s="975" t="s">
        <v>819</v>
      </c>
      <c r="HZZ97" s="975" t="s">
        <v>819</v>
      </c>
      <c r="IAA97" s="975" t="s">
        <v>819</v>
      </c>
      <c r="IAB97" s="975" t="s">
        <v>819</v>
      </c>
      <c r="IAC97" s="975" t="s">
        <v>819</v>
      </c>
      <c r="IAD97" s="975" t="s">
        <v>819</v>
      </c>
      <c r="IAE97" s="975" t="s">
        <v>819</v>
      </c>
      <c r="IAF97" s="975" t="s">
        <v>819</v>
      </c>
      <c r="IAG97" s="975" t="s">
        <v>819</v>
      </c>
      <c r="IAH97" s="975" t="s">
        <v>819</v>
      </c>
      <c r="IAI97" s="975" t="s">
        <v>819</v>
      </c>
      <c r="IAJ97" s="975" t="s">
        <v>819</v>
      </c>
      <c r="IAK97" s="975" t="s">
        <v>819</v>
      </c>
      <c r="IAL97" s="975" t="s">
        <v>819</v>
      </c>
      <c r="IAM97" s="975" t="s">
        <v>819</v>
      </c>
      <c r="IAN97" s="975" t="s">
        <v>819</v>
      </c>
      <c r="IAO97" s="975" t="s">
        <v>819</v>
      </c>
      <c r="IAP97" s="975" t="s">
        <v>819</v>
      </c>
      <c r="IAQ97" s="975" t="s">
        <v>819</v>
      </c>
      <c r="IAR97" s="975" t="s">
        <v>819</v>
      </c>
      <c r="IAS97" s="975" t="s">
        <v>819</v>
      </c>
      <c r="IAT97" s="975" t="s">
        <v>819</v>
      </c>
      <c r="IAU97" s="975" t="s">
        <v>819</v>
      </c>
      <c r="IAV97" s="975" t="s">
        <v>819</v>
      </c>
      <c r="IAW97" s="975" t="s">
        <v>819</v>
      </c>
      <c r="IAX97" s="975" t="s">
        <v>819</v>
      </c>
      <c r="IAY97" s="975" t="s">
        <v>819</v>
      </c>
      <c r="IAZ97" s="975" t="s">
        <v>819</v>
      </c>
      <c r="IBA97" s="975" t="s">
        <v>819</v>
      </c>
      <c r="IBB97" s="975" t="s">
        <v>819</v>
      </c>
      <c r="IBC97" s="975" t="s">
        <v>819</v>
      </c>
      <c r="IBD97" s="975" t="s">
        <v>819</v>
      </c>
      <c r="IBE97" s="975" t="s">
        <v>819</v>
      </c>
      <c r="IBF97" s="975" t="s">
        <v>819</v>
      </c>
      <c r="IBG97" s="975" t="s">
        <v>819</v>
      </c>
      <c r="IBH97" s="975" t="s">
        <v>819</v>
      </c>
      <c r="IBI97" s="975" t="s">
        <v>819</v>
      </c>
      <c r="IBJ97" s="975" t="s">
        <v>819</v>
      </c>
      <c r="IBK97" s="975" t="s">
        <v>819</v>
      </c>
      <c r="IBL97" s="975" t="s">
        <v>819</v>
      </c>
      <c r="IBM97" s="975" t="s">
        <v>819</v>
      </c>
      <c r="IBN97" s="975" t="s">
        <v>819</v>
      </c>
      <c r="IBO97" s="975" t="s">
        <v>819</v>
      </c>
      <c r="IBP97" s="975" t="s">
        <v>819</v>
      </c>
      <c r="IBQ97" s="975" t="s">
        <v>819</v>
      </c>
      <c r="IBR97" s="975" t="s">
        <v>819</v>
      </c>
      <c r="IBS97" s="975" t="s">
        <v>819</v>
      </c>
      <c r="IBT97" s="975" t="s">
        <v>819</v>
      </c>
      <c r="IBU97" s="975" t="s">
        <v>819</v>
      </c>
      <c r="IBV97" s="975" t="s">
        <v>819</v>
      </c>
      <c r="IBW97" s="975" t="s">
        <v>819</v>
      </c>
      <c r="IBX97" s="975" t="s">
        <v>819</v>
      </c>
      <c r="IBY97" s="975" t="s">
        <v>819</v>
      </c>
      <c r="IBZ97" s="975" t="s">
        <v>819</v>
      </c>
      <c r="ICA97" s="975" t="s">
        <v>819</v>
      </c>
      <c r="ICB97" s="975" t="s">
        <v>819</v>
      </c>
      <c r="ICC97" s="975" t="s">
        <v>819</v>
      </c>
      <c r="ICD97" s="975" t="s">
        <v>819</v>
      </c>
      <c r="ICE97" s="975" t="s">
        <v>819</v>
      </c>
      <c r="ICF97" s="975" t="s">
        <v>819</v>
      </c>
      <c r="ICG97" s="975" t="s">
        <v>819</v>
      </c>
      <c r="ICH97" s="975" t="s">
        <v>819</v>
      </c>
      <c r="ICI97" s="975" t="s">
        <v>819</v>
      </c>
      <c r="ICJ97" s="975" t="s">
        <v>819</v>
      </c>
      <c r="ICK97" s="975" t="s">
        <v>819</v>
      </c>
      <c r="ICL97" s="975" t="s">
        <v>819</v>
      </c>
      <c r="ICM97" s="975" t="s">
        <v>819</v>
      </c>
      <c r="ICN97" s="975" t="s">
        <v>819</v>
      </c>
      <c r="ICO97" s="975" t="s">
        <v>819</v>
      </c>
      <c r="ICP97" s="975" t="s">
        <v>819</v>
      </c>
      <c r="ICQ97" s="975" t="s">
        <v>819</v>
      </c>
      <c r="ICR97" s="975" t="s">
        <v>819</v>
      </c>
      <c r="ICS97" s="975" t="s">
        <v>819</v>
      </c>
      <c r="ICT97" s="975" t="s">
        <v>819</v>
      </c>
      <c r="ICU97" s="975" t="s">
        <v>819</v>
      </c>
      <c r="ICV97" s="975" t="s">
        <v>819</v>
      </c>
      <c r="ICW97" s="975" t="s">
        <v>819</v>
      </c>
      <c r="ICX97" s="975" t="s">
        <v>819</v>
      </c>
      <c r="ICY97" s="975" t="s">
        <v>819</v>
      </c>
      <c r="ICZ97" s="975" t="s">
        <v>819</v>
      </c>
      <c r="IDA97" s="975" t="s">
        <v>819</v>
      </c>
      <c r="IDB97" s="975" t="s">
        <v>819</v>
      </c>
      <c r="IDC97" s="975" t="s">
        <v>819</v>
      </c>
      <c r="IDD97" s="975" t="s">
        <v>819</v>
      </c>
      <c r="IDE97" s="975" t="s">
        <v>819</v>
      </c>
      <c r="IDF97" s="975" t="s">
        <v>819</v>
      </c>
      <c r="IDG97" s="975" t="s">
        <v>819</v>
      </c>
      <c r="IDH97" s="975" t="s">
        <v>819</v>
      </c>
      <c r="IDI97" s="975" t="s">
        <v>819</v>
      </c>
      <c r="IDJ97" s="975" t="s">
        <v>819</v>
      </c>
      <c r="IDK97" s="975" t="s">
        <v>819</v>
      </c>
      <c r="IDL97" s="975" t="s">
        <v>819</v>
      </c>
      <c r="IDM97" s="975" t="s">
        <v>819</v>
      </c>
      <c r="IDN97" s="975" t="s">
        <v>819</v>
      </c>
      <c r="IDO97" s="975" t="s">
        <v>819</v>
      </c>
      <c r="IDP97" s="975" t="s">
        <v>819</v>
      </c>
      <c r="IDQ97" s="975" t="s">
        <v>819</v>
      </c>
      <c r="IDR97" s="975" t="s">
        <v>819</v>
      </c>
      <c r="IDS97" s="975" t="s">
        <v>819</v>
      </c>
      <c r="IDT97" s="975" t="s">
        <v>819</v>
      </c>
      <c r="IDU97" s="975" t="s">
        <v>819</v>
      </c>
      <c r="IDV97" s="975" t="s">
        <v>819</v>
      </c>
      <c r="IDW97" s="975" t="s">
        <v>819</v>
      </c>
      <c r="IDX97" s="975" t="s">
        <v>819</v>
      </c>
      <c r="IDY97" s="975" t="s">
        <v>819</v>
      </c>
      <c r="IDZ97" s="975" t="s">
        <v>819</v>
      </c>
      <c r="IEA97" s="975" t="s">
        <v>819</v>
      </c>
      <c r="IEB97" s="975" t="s">
        <v>819</v>
      </c>
      <c r="IEC97" s="975" t="s">
        <v>819</v>
      </c>
      <c r="IED97" s="975" t="s">
        <v>819</v>
      </c>
      <c r="IEE97" s="975" t="s">
        <v>819</v>
      </c>
      <c r="IEF97" s="975" t="s">
        <v>819</v>
      </c>
      <c r="IEG97" s="975" t="s">
        <v>819</v>
      </c>
      <c r="IEH97" s="975" t="s">
        <v>819</v>
      </c>
      <c r="IEI97" s="975" t="s">
        <v>819</v>
      </c>
      <c r="IEJ97" s="975" t="s">
        <v>819</v>
      </c>
      <c r="IEK97" s="975" t="s">
        <v>819</v>
      </c>
      <c r="IEL97" s="975" t="s">
        <v>819</v>
      </c>
      <c r="IEM97" s="975" t="s">
        <v>819</v>
      </c>
      <c r="IEN97" s="975" t="s">
        <v>819</v>
      </c>
      <c r="IEO97" s="975" t="s">
        <v>819</v>
      </c>
      <c r="IEP97" s="975" t="s">
        <v>819</v>
      </c>
      <c r="IEQ97" s="975" t="s">
        <v>819</v>
      </c>
      <c r="IER97" s="975" t="s">
        <v>819</v>
      </c>
      <c r="IES97" s="975" t="s">
        <v>819</v>
      </c>
      <c r="IET97" s="975" t="s">
        <v>819</v>
      </c>
      <c r="IEU97" s="975" t="s">
        <v>819</v>
      </c>
      <c r="IEV97" s="975" t="s">
        <v>819</v>
      </c>
      <c r="IEW97" s="975" t="s">
        <v>819</v>
      </c>
      <c r="IEX97" s="975" t="s">
        <v>819</v>
      </c>
      <c r="IEY97" s="975" t="s">
        <v>819</v>
      </c>
      <c r="IEZ97" s="975" t="s">
        <v>819</v>
      </c>
      <c r="IFA97" s="975" t="s">
        <v>819</v>
      </c>
      <c r="IFB97" s="975" t="s">
        <v>819</v>
      </c>
      <c r="IFC97" s="975" t="s">
        <v>819</v>
      </c>
      <c r="IFD97" s="975" t="s">
        <v>819</v>
      </c>
      <c r="IFE97" s="975" t="s">
        <v>819</v>
      </c>
      <c r="IFF97" s="975" t="s">
        <v>819</v>
      </c>
      <c r="IFG97" s="975" t="s">
        <v>819</v>
      </c>
      <c r="IFH97" s="975" t="s">
        <v>819</v>
      </c>
      <c r="IFI97" s="975" t="s">
        <v>819</v>
      </c>
      <c r="IFJ97" s="975" t="s">
        <v>819</v>
      </c>
      <c r="IFK97" s="975" t="s">
        <v>819</v>
      </c>
      <c r="IFL97" s="975" t="s">
        <v>819</v>
      </c>
      <c r="IFM97" s="975" t="s">
        <v>819</v>
      </c>
      <c r="IFN97" s="975" t="s">
        <v>819</v>
      </c>
      <c r="IFO97" s="975" t="s">
        <v>819</v>
      </c>
      <c r="IFP97" s="975" t="s">
        <v>819</v>
      </c>
      <c r="IFQ97" s="975" t="s">
        <v>819</v>
      </c>
      <c r="IFR97" s="975" t="s">
        <v>819</v>
      </c>
      <c r="IFS97" s="975" t="s">
        <v>819</v>
      </c>
      <c r="IFT97" s="975" t="s">
        <v>819</v>
      </c>
      <c r="IFU97" s="975" t="s">
        <v>819</v>
      </c>
      <c r="IFV97" s="975" t="s">
        <v>819</v>
      </c>
      <c r="IFW97" s="975" t="s">
        <v>819</v>
      </c>
      <c r="IFX97" s="975" t="s">
        <v>819</v>
      </c>
      <c r="IFY97" s="975" t="s">
        <v>819</v>
      </c>
      <c r="IFZ97" s="975" t="s">
        <v>819</v>
      </c>
      <c r="IGA97" s="975" t="s">
        <v>819</v>
      </c>
      <c r="IGB97" s="975" t="s">
        <v>819</v>
      </c>
      <c r="IGC97" s="975" t="s">
        <v>819</v>
      </c>
      <c r="IGD97" s="975" t="s">
        <v>819</v>
      </c>
      <c r="IGE97" s="975" t="s">
        <v>819</v>
      </c>
      <c r="IGF97" s="975" t="s">
        <v>819</v>
      </c>
      <c r="IGG97" s="975" t="s">
        <v>819</v>
      </c>
      <c r="IGH97" s="975" t="s">
        <v>819</v>
      </c>
      <c r="IGI97" s="975" t="s">
        <v>819</v>
      </c>
      <c r="IGJ97" s="975" t="s">
        <v>819</v>
      </c>
      <c r="IGK97" s="975" t="s">
        <v>819</v>
      </c>
      <c r="IGL97" s="975" t="s">
        <v>819</v>
      </c>
      <c r="IGM97" s="975" t="s">
        <v>819</v>
      </c>
      <c r="IGN97" s="975" t="s">
        <v>819</v>
      </c>
      <c r="IGO97" s="975" t="s">
        <v>819</v>
      </c>
      <c r="IGP97" s="975" t="s">
        <v>819</v>
      </c>
      <c r="IGQ97" s="975" t="s">
        <v>819</v>
      </c>
      <c r="IGR97" s="975" t="s">
        <v>819</v>
      </c>
      <c r="IGS97" s="975" t="s">
        <v>819</v>
      </c>
      <c r="IGT97" s="975" t="s">
        <v>819</v>
      </c>
      <c r="IGU97" s="975" t="s">
        <v>819</v>
      </c>
      <c r="IGV97" s="975" t="s">
        <v>819</v>
      </c>
      <c r="IGW97" s="975" t="s">
        <v>819</v>
      </c>
      <c r="IGX97" s="975" t="s">
        <v>819</v>
      </c>
      <c r="IGY97" s="975" t="s">
        <v>819</v>
      </c>
      <c r="IGZ97" s="975" t="s">
        <v>819</v>
      </c>
      <c r="IHA97" s="975" t="s">
        <v>819</v>
      </c>
      <c r="IHB97" s="975" t="s">
        <v>819</v>
      </c>
      <c r="IHC97" s="975" t="s">
        <v>819</v>
      </c>
      <c r="IHD97" s="975" t="s">
        <v>819</v>
      </c>
      <c r="IHE97" s="975" t="s">
        <v>819</v>
      </c>
      <c r="IHF97" s="975" t="s">
        <v>819</v>
      </c>
      <c r="IHG97" s="975" t="s">
        <v>819</v>
      </c>
      <c r="IHH97" s="975" t="s">
        <v>819</v>
      </c>
      <c r="IHI97" s="975" t="s">
        <v>819</v>
      </c>
      <c r="IHJ97" s="975" t="s">
        <v>819</v>
      </c>
      <c r="IHK97" s="975" t="s">
        <v>819</v>
      </c>
      <c r="IHL97" s="975" t="s">
        <v>819</v>
      </c>
      <c r="IHM97" s="975" t="s">
        <v>819</v>
      </c>
      <c r="IHN97" s="975" t="s">
        <v>819</v>
      </c>
      <c r="IHO97" s="975" t="s">
        <v>819</v>
      </c>
      <c r="IHP97" s="975" t="s">
        <v>819</v>
      </c>
      <c r="IHQ97" s="975" t="s">
        <v>819</v>
      </c>
      <c r="IHR97" s="975" t="s">
        <v>819</v>
      </c>
      <c r="IHS97" s="975" t="s">
        <v>819</v>
      </c>
      <c r="IHT97" s="975" t="s">
        <v>819</v>
      </c>
      <c r="IHU97" s="975" t="s">
        <v>819</v>
      </c>
      <c r="IHV97" s="975" t="s">
        <v>819</v>
      </c>
      <c r="IHW97" s="975" t="s">
        <v>819</v>
      </c>
      <c r="IHX97" s="975" t="s">
        <v>819</v>
      </c>
      <c r="IHY97" s="975" t="s">
        <v>819</v>
      </c>
      <c r="IHZ97" s="975" t="s">
        <v>819</v>
      </c>
      <c r="IIA97" s="975" t="s">
        <v>819</v>
      </c>
      <c r="IIB97" s="975" t="s">
        <v>819</v>
      </c>
      <c r="IIC97" s="975" t="s">
        <v>819</v>
      </c>
      <c r="IID97" s="975" t="s">
        <v>819</v>
      </c>
      <c r="IIE97" s="975" t="s">
        <v>819</v>
      </c>
      <c r="IIF97" s="975" t="s">
        <v>819</v>
      </c>
      <c r="IIG97" s="975" t="s">
        <v>819</v>
      </c>
      <c r="IIH97" s="975" t="s">
        <v>819</v>
      </c>
      <c r="III97" s="975" t="s">
        <v>819</v>
      </c>
      <c r="IIJ97" s="975" t="s">
        <v>819</v>
      </c>
      <c r="IIK97" s="975" t="s">
        <v>819</v>
      </c>
      <c r="IIL97" s="975" t="s">
        <v>819</v>
      </c>
      <c r="IIM97" s="975" t="s">
        <v>819</v>
      </c>
      <c r="IIN97" s="975" t="s">
        <v>819</v>
      </c>
      <c r="IIO97" s="975" t="s">
        <v>819</v>
      </c>
      <c r="IIP97" s="975" t="s">
        <v>819</v>
      </c>
      <c r="IIQ97" s="975" t="s">
        <v>819</v>
      </c>
      <c r="IIR97" s="975" t="s">
        <v>819</v>
      </c>
      <c r="IIS97" s="975" t="s">
        <v>819</v>
      </c>
      <c r="IIT97" s="975" t="s">
        <v>819</v>
      </c>
      <c r="IIU97" s="975" t="s">
        <v>819</v>
      </c>
      <c r="IIV97" s="975" t="s">
        <v>819</v>
      </c>
      <c r="IIW97" s="975" t="s">
        <v>819</v>
      </c>
      <c r="IIX97" s="975" t="s">
        <v>819</v>
      </c>
      <c r="IIY97" s="975" t="s">
        <v>819</v>
      </c>
      <c r="IIZ97" s="975" t="s">
        <v>819</v>
      </c>
      <c r="IJA97" s="975" t="s">
        <v>819</v>
      </c>
      <c r="IJB97" s="975" t="s">
        <v>819</v>
      </c>
      <c r="IJC97" s="975" t="s">
        <v>819</v>
      </c>
      <c r="IJD97" s="975" t="s">
        <v>819</v>
      </c>
      <c r="IJE97" s="975" t="s">
        <v>819</v>
      </c>
      <c r="IJF97" s="975" t="s">
        <v>819</v>
      </c>
      <c r="IJG97" s="975" t="s">
        <v>819</v>
      </c>
      <c r="IJH97" s="975" t="s">
        <v>819</v>
      </c>
      <c r="IJI97" s="975" t="s">
        <v>819</v>
      </c>
      <c r="IJJ97" s="975" t="s">
        <v>819</v>
      </c>
      <c r="IJK97" s="975" t="s">
        <v>819</v>
      </c>
      <c r="IJL97" s="975" t="s">
        <v>819</v>
      </c>
      <c r="IJM97" s="975" t="s">
        <v>819</v>
      </c>
      <c r="IJN97" s="975" t="s">
        <v>819</v>
      </c>
      <c r="IJO97" s="975" t="s">
        <v>819</v>
      </c>
      <c r="IJP97" s="975" t="s">
        <v>819</v>
      </c>
      <c r="IJQ97" s="975" t="s">
        <v>819</v>
      </c>
      <c r="IJR97" s="975" t="s">
        <v>819</v>
      </c>
      <c r="IJS97" s="975" t="s">
        <v>819</v>
      </c>
      <c r="IJT97" s="975" t="s">
        <v>819</v>
      </c>
      <c r="IJU97" s="975" t="s">
        <v>819</v>
      </c>
      <c r="IJV97" s="975" t="s">
        <v>819</v>
      </c>
      <c r="IJW97" s="975" t="s">
        <v>819</v>
      </c>
      <c r="IJX97" s="975" t="s">
        <v>819</v>
      </c>
      <c r="IJY97" s="975" t="s">
        <v>819</v>
      </c>
      <c r="IJZ97" s="975" t="s">
        <v>819</v>
      </c>
      <c r="IKA97" s="975" t="s">
        <v>819</v>
      </c>
      <c r="IKB97" s="975" t="s">
        <v>819</v>
      </c>
      <c r="IKC97" s="975" t="s">
        <v>819</v>
      </c>
      <c r="IKD97" s="975" t="s">
        <v>819</v>
      </c>
      <c r="IKE97" s="975" t="s">
        <v>819</v>
      </c>
      <c r="IKF97" s="975" t="s">
        <v>819</v>
      </c>
      <c r="IKG97" s="975" t="s">
        <v>819</v>
      </c>
      <c r="IKH97" s="975" t="s">
        <v>819</v>
      </c>
      <c r="IKI97" s="975" t="s">
        <v>819</v>
      </c>
      <c r="IKJ97" s="975" t="s">
        <v>819</v>
      </c>
      <c r="IKK97" s="975" t="s">
        <v>819</v>
      </c>
      <c r="IKL97" s="975" t="s">
        <v>819</v>
      </c>
      <c r="IKM97" s="975" t="s">
        <v>819</v>
      </c>
      <c r="IKN97" s="975" t="s">
        <v>819</v>
      </c>
      <c r="IKO97" s="975" t="s">
        <v>819</v>
      </c>
      <c r="IKP97" s="975" t="s">
        <v>819</v>
      </c>
      <c r="IKQ97" s="975" t="s">
        <v>819</v>
      </c>
      <c r="IKR97" s="975" t="s">
        <v>819</v>
      </c>
      <c r="IKS97" s="975" t="s">
        <v>819</v>
      </c>
      <c r="IKT97" s="975" t="s">
        <v>819</v>
      </c>
      <c r="IKU97" s="975" t="s">
        <v>819</v>
      </c>
      <c r="IKV97" s="975" t="s">
        <v>819</v>
      </c>
      <c r="IKW97" s="975" t="s">
        <v>819</v>
      </c>
      <c r="IKX97" s="975" t="s">
        <v>819</v>
      </c>
      <c r="IKY97" s="975" t="s">
        <v>819</v>
      </c>
      <c r="IKZ97" s="975" t="s">
        <v>819</v>
      </c>
      <c r="ILA97" s="975" t="s">
        <v>819</v>
      </c>
      <c r="ILB97" s="975" t="s">
        <v>819</v>
      </c>
      <c r="ILC97" s="975" t="s">
        <v>819</v>
      </c>
      <c r="ILD97" s="975" t="s">
        <v>819</v>
      </c>
      <c r="ILE97" s="975" t="s">
        <v>819</v>
      </c>
      <c r="ILF97" s="975" t="s">
        <v>819</v>
      </c>
      <c r="ILG97" s="975" t="s">
        <v>819</v>
      </c>
      <c r="ILH97" s="975" t="s">
        <v>819</v>
      </c>
      <c r="ILI97" s="975" t="s">
        <v>819</v>
      </c>
      <c r="ILJ97" s="975" t="s">
        <v>819</v>
      </c>
      <c r="ILK97" s="975" t="s">
        <v>819</v>
      </c>
      <c r="ILL97" s="975" t="s">
        <v>819</v>
      </c>
      <c r="ILM97" s="975" t="s">
        <v>819</v>
      </c>
      <c r="ILN97" s="975" t="s">
        <v>819</v>
      </c>
      <c r="ILO97" s="975" t="s">
        <v>819</v>
      </c>
      <c r="ILP97" s="975" t="s">
        <v>819</v>
      </c>
      <c r="ILQ97" s="975" t="s">
        <v>819</v>
      </c>
      <c r="ILR97" s="975" t="s">
        <v>819</v>
      </c>
      <c r="ILS97" s="975" t="s">
        <v>819</v>
      </c>
      <c r="ILT97" s="975" t="s">
        <v>819</v>
      </c>
      <c r="ILU97" s="975" t="s">
        <v>819</v>
      </c>
      <c r="ILV97" s="975" t="s">
        <v>819</v>
      </c>
      <c r="ILW97" s="975" t="s">
        <v>819</v>
      </c>
      <c r="ILX97" s="975" t="s">
        <v>819</v>
      </c>
      <c r="ILY97" s="975" t="s">
        <v>819</v>
      </c>
      <c r="ILZ97" s="975" t="s">
        <v>819</v>
      </c>
      <c r="IMA97" s="975" t="s">
        <v>819</v>
      </c>
      <c r="IMB97" s="975" t="s">
        <v>819</v>
      </c>
      <c r="IMC97" s="975" t="s">
        <v>819</v>
      </c>
      <c r="IMD97" s="975" t="s">
        <v>819</v>
      </c>
      <c r="IME97" s="975" t="s">
        <v>819</v>
      </c>
      <c r="IMF97" s="975" t="s">
        <v>819</v>
      </c>
      <c r="IMG97" s="975" t="s">
        <v>819</v>
      </c>
      <c r="IMH97" s="975" t="s">
        <v>819</v>
      </c>
      <c r="IMI97" s="975" t="s">
        <v>819</v>
      </c>
      <c r="IMJ97" s="975" t="s">
        <v>819</v>
      </c>
      <c r="IMK97" s="975" t="s">
        <v>819</v>
      </c>
      <c r="IML97" s="975" t="s">
        <v>819</v>
      </c>
      <c r="IMM97" s="975" t="s">
        <v>819</v>
      </c>
      <c r="IMN97" s="975" t="s">
        <v>819</v>
      </c>
      <c r="IMO97" s="975" t="s">
        <v>819</v>
      </c>
      <c r="IMP97" s="975" t="s">
        <v>819</v>
      </c>
      <c r="IMQ97" s="975" t="s">
        <v>819</v>
      </c>
      <c r="IMR97" s="975" t="s">
        <v>819</v>
      </c>
      <c r="IMS97" s="975" t="s">
        <v>819</v>
      </c>
      <c r="IMT97" s="975" t="s">
        <v>819</v>
      </c>
      <c r="IMU97" s="975" t="s">
        <v>819</v>
      </c>
      <c r="IMV97" s="975" t="s">
        <v>819</v>
      </c>
      <c r="IMW97" s="975" t="s">
        <v>819</v>
      </c>
      <c r="IMX97" s="975" t="s">
        <v>819</v>
      </c>
      <c r="IMY97" s="975" t="s">
        <v>819</v>
      </c>
      <c r="IMZ97" s="975" t="s">
        <v>819</v>
      </c>
      <c r="INA97" s="975" t="s">
        <v>819</v>
      </c>
      <c r="INB97" s="975" t="s">
        <v>819</v>
      </c>
      <c r="INC97" s="975" t="s">
        <v>819</v>
      </c>
      <c r="IND97" s="975" t="s">
        <v>819</v>
      </c>
      <c r="INE97" s="975" t="s">
        <v>819</v>
      </c>
      <c r="INF97" s="975" t="s">
        <v>819</v>
      </c>
      <c r="ING97" s="975" t="s">
        <v>819</v>
      </c>
      <c r="INH97" s="975" t="s">
        <v>819</v>
      </c>
      <c r="INI97" s="975" t="s">
        <v>819</v>
      </c>
      <c r="INJ97" s="975" t="s">
        <v>819</v>
      </c>
      <c r="INK97" s="975" t="s">
        <v>819</v>
      </c>
      <c r="INL97" s="975" t="s">
        <v>819</v>
      </c>
      <c r="INM97" s="975" t="s">
        <v>819</v>
      </c>
      <c r="INN97" s="975" t="s">
        <v>819</v>
      </c>
      <c r="INO97" s="975" t="s">
        <v>819</v>
      </c>
      <c r="INP97" s="975" t="s">
        <v>819</v>
      </c>
      <c r="INQ97" s="975" t="s">
        <v>819</v>
      </c>
      <c r="INR97" s="975" t="s">
        <v>819</v>
      </c>
      <c r="INS97" s="975" t="s">
        <v>819</v>
      </c>
      <c r="INT97" s="975" t="s">
        <v>819</v>
      </c>
      <c r="INU97" s="975" t="s">
        <v>819</v>
      </c>
      <c r="INV97" s="975" t="s">
        <v>819</v>
      </c>
      <c r="INW97" s="975" t="s">
        <v>819</v>
      </c>
      <c r="INX97" s="975" t="s">
        <v>819</v>
      </c>
      <c r="INY97" s="975" t="s">
        <v>819</v>
      </c>
      <c r="INZ97" s="975" t="s">
        <v>819</v>
      </c>
      <c r="IOA97" s="975" t="s">
        <v>819</v>
      </c>
      <c r="IOB97" s="975" t="s">
        <v>819</v>
      </c>
      <c r="IOC97" s="975" t="s">
        <v>819</v>
      </c>
      <c r="IOD97" s="975" t="s">
        <v>819</v>
      </c>
      <c r="IOE97" s="975" t="s">
        <v>819</v>
      </c>
      <c r="IOF97" s="975" t="s">
        <v>819</v>
      </c>
      <c r="IOG97" s="975" t="s">
        <v>819</v>
      </c>
      <c r="IOH97" s="975" t="s">
        <v>819</v>
      </c>
      <c r="IOI97" s="975" t="s">
        <v>819</v>
      </c>
      <c r="IOJ97" s="975" t="s">
        <v>819</v>
      </c>
      <c r="IOK97" s="975" t="s">
        <v>819</v>
      </c>
      <c r="IOL97" s="975" t="s">
        <v>819</v>
      </c>
      <c r="IOM97" s="975" t="s">
        <v>819</v>
      </c>
      <c r="ION97" s="975" t="s">
        <v>819</v>
      </c>
      <c r="IOO97" s="975" t="s">
        <v>819</v>
      </c>
      <c r="IOP97" s="975" t="s">
        <v>819</v>
      </c>
      <c r="IOQ97" s="975" t="s">
        <v>819</v>
      </c>
      <c r="IOR97" s="975" t="s">
        <v>819</v>
      </c>
      <c r="IOS97" s="975" t="s">
        <v>819</v>
      </c>
      <c r="IOT97" s="975" t="s">
        <v>819</v>
      </c>
      <c r="IOU97" s="975" t="s">
        <v>819</v>
      </c>
      <c r="IOV97" s="975" t="s">
        <v>819</v>
      </c>
      <c r="IOW97" s="975" t="s">
        <v>819</v>
      </c>
      <c r="IOX97" s="975" t="s">
        <v>819</v>
      </c>
      <c r="IOY97" s="975" t="s">
        <v>819</v>
      </c>
      <c r="IOZ97" s="975" t="s">
        <v>819</v>
      </c>
      <c r="IPA97" s="975" t="s">
        <v>819</v>
      </c>
      <c r="IPB97" s="975" t="s">
        <v>819</v>
      </c>
      <c r="IPC97" s="975" t="s">
        <v>819</v>
      </c>
      <c r="IPD97" s="975" t="s">
        <v>819</v>
      </c>
      <c r="IPE97" s="975" t="s">
        <v>819</v>
      </c>
      <c r="IPF97" s="975" t="s">
        <v>819</v>
      </c>
      <c r="IPG97" s="975" t="s">
        <v>819</v>
      </c>
      <c r="IPH97" s="975" t="s">
        <v>819</v>
      </c>
      <c r="IPI97" s="975" t="s">
        <v>819</v>
      </c>
      <c r="IPJ97" s="975" t="s">
        <v>819</v>
      </c>
      <c r="IPK97" s="975" t="s">
        <v>819</v>
      </c>
      <c r="IPL97" s="975" t="s">
        <v>819</v>
      </c>
      <c r="IPM97" s="975" t="s">
        <v>819</v>
      </c>
      <c r="IPN97" s="975" t="s">
        <v>819</v>
      </c>
      <c r="IPO97" s="975" t="s">
        <v>819</v>
      </c>
      <c r="IPP97" s="975" t="s">
        <v>819</v>
      </c>
      <c r="IPQ97" s="975" t="s">
        <v>819</v>
      </c>
      <c r="IPR97" s="975" t="s">
        <v>819</v>
      </c>
      <c r="IPS97" s="975" t="s">
        <v>819</v>
      </c>
      <c r="IPT97" s="975" t="s">
        <v>819</v>
      </c>
      <c r="IPU97" s="975" t="s">
        <v>819</v>
      </c>
      <c r="IPV97" s="975" t="s">
        <v>819</v>
      </c>
      <c r="IPW97" s="975" t="s">
        <v>819</v>
      </c>
      <c r="IPX97" s="975" t="s">
        <v>819</v>
      </c>
      <c r="IPY97" s="975" t="s">
        <v>819</v>
      </c>
      <c r="IPZ97" s="975" t="s">
        <v>819</v>
      </c>
      <c r="IQA97" s="975" t="s">
        <v>819</v>
      </c>
      <c r="IQB97" s="975" t="s">
        <v>819</v>
      </c>
      <c r="IQC97" s="975" t="s">
        <v>819</v>
      </c>
      <c r="IQD97" s="975" t="s">
        <v>819</v>
      </c>
      <c r="IQE97" s="975" t="s">
        <v>819</v>
      </c>
      <c r="IQF97" s="975" t="s">
        <v>819</v>
      </c>
      <c r="IQG97" s="975" t="s">
        <v>819</v>
      </c>
      <c r="IQH97" s="975" t="s">
        <v>819</v>
      </c>
      <c r="IQI97" s="975" t="s">
        <v>819</v>
      </c>
      <c r="IQJ97" s="975" t="s">
        <v>819</v>
      </c>
      <c r="IQK97" s="975" t="s">
        <v>819</v>
      </c>
      <c r="IQL97" s="975" t="s">
        <v>819</v>
      </c>
      <c r="IQM97" s="975" t="s">
        <v>819</v>
      </c>
      <c r="IQN97" s="975" t="s">
        <v>819</v>
      </c>
      <c r="IQO97" s="975" t="s">
        <v>819</v>
      </c>
      <c r="IQP97" s="975" t="s">
        <v>819</v>
      </c>
      <c r="IQQ97" s="975" t="s">
        <v>819</v>
      </c>
      <c r="IQR97" s="975" t="s">
        <v>819</v>
      </c>
      <c r="IQS97" s="975" t="s">
        <v>819</v>
      </c>
      <c r="IQT97" s="975" t="s">
        <v>819</v>
      </c>
      <c r="IQU97" s="975" t="s">
        <v>819</v>
      </c>
      <c r="IQV97" s="975" t="s">
        <v>819</v>
      </c>
      <c r="IQW97" s="975" t="s">
        <v>819</v>
      </c>
      <c r="IQX97" s="975" t="s">
        <v>819</v>
      </c>
      <c r="IQY97" s="975" t="s">
        <v>819</v>
      </c>
      <c r="IQZ97" s="975" t="s">
        <v>819</v>
      </c>
      <c r="IRA97" s="975" t="s">
        <v>819</v>
      </c>
      <c r="IRB97" s="975" t="s">
        <v>819</v>
      </c>
      <c r="IRC97" s="975" t="s">
        <v>819</v>
      </c>
      <c r="IRD97" s="975" t="s">
        <v>819</v>
      </c>
      <c r="IRE97" s="975" t="s">
        <v>819</v>
      </c>
      <c r="IRF97" s="975" t="s">
        <v>819</v>
      </c>
      <c r="IRG97" s="975" t="s">
        <v>819</v>
      </c>
      <c r="IRH97" s="975" t="s">
        <v>819</v>
      </c>
      <c r="IRI97" s="975" t="s">
        <v>819</v>
      </c>
      <c r="IRJ97" s="975" t="s">
        <v>819</v>
      </c>
      <c r="IRK97" s="975" t="s">
        <v>819</v>
      </c>
      <c r="IRL97" s="975" t="s">
        <v>819</v>
      </c>
      <c r="IRM97" s="975" t="s">
        <v>819</v>
      </c>
      <c r="IRN97" s="975" t="s">
        <v>819</v>
      </c>
      <c r="IRO97" s="975" t="s">
        <v>819</v>
      </c>
      <c r="IRP97" s="975" t="s">
        <v>819</v>
      </c>
      <c r="IRQ97" s="975" t="s">
        <v>819</v>
      </c>
      <c r="IRR97" s="975" t="s">
        <v>819</v>
      </c>
      <c r="IRS97" s="975" t="s">
        <v>819</v>
      </c>
      <c r="IRT97" s="975" t="s">
        <v>819</v>
      </c>
      <c r="IRU97" s="975" t="s">
        <v>819</v>
      </c>
      <c r="IRV97" s="975" t="s">
        <v>819</v>
      </c>
      <c r="IRW97" s="975" t="s">
        <v>819</v>
      </c>
      <c r="IRX97" s="975" t="s">
        <v>819</v>
      </c>
      <c r="IRY97" s="975" t="s">
        <v>819</v>
      </c>
      <c r="IRZ97" s="975" t="s">
        <v>819</v>
      </c>
      <c r="ISA97" s="975" t="s">
        <v>819</v>
      </c>
      <c r="ISB97" s="975" t="s">
        <v>819</v>
      </c>
      <c r="ISC97" s="975" t="s">
        <v>819</v>
      </c>
      <c r="ISD97" s="975" t="s">
        <v>819</v>
      </c>
      <c r="ISE97" s="975" t="s">
        <v>819</v>
      </c>
      <c r="ISF97" s="975" t="s">
        <v>819</v>
      </c>
      <c r="ISG97" s="975" t="s">
        <v>819</v>
      </c>
      <c r="ISH97" s="975" t="s">
        <v>819</v>
      </c>
      <c r="ISI97" s="975" t="s">
        <v>819</v>
      </c>
      <c r="ISJ97" s="975" t="s">
        <v>819</v>
      </c>
      <c r="ISK97" s="975" t="s">
        <v>819</v>
      </c>
      <c r="ISL97" s="975" t="s">
        <v>819</v>
      </c>
      <c r="ISM97" s="975" t="s">
        <v>819</v>
      </c>
      <c r="ISN97" s="975" t="s">
        <v>819</v>
      </c>
      <c r="ISO97" s="975" t="s">
        <v>819</v>
      </c>
      <c r="ISP97" s="975" t="s">
        <v>819</v>
      </c>
      <c r="ISQ97" s="975" t="s">
        <v>819</v>
      </c>
      <c r="ISR97" s="975" t="s">
        <v>819</v>
      </c>
      <c r="ISS97" s="975" t="s">
        <v>819</v>
      </c>
      <c r="IST97" s="975" t="s">
        <v>819</v>
      </c>
      <c r="ISU97" s="975" t="s">
        <v>819</v>
      </c>
      <c r="ISV97" s="975" t="s">
        <v>819</v>
      </c>
      <c r="ISW97" s="975" t="s">
        <v>819</v>
      </c>
      <c r="ISX97" s="975" t="s">
        <v>819</v>
      </c>
      <c r="ISY97" s="975" t="s">
        <v>819</v>
      </c>
      <c r="ISZ97" s="975" t="s">
        <v>819</v>
      </c>
      <c r="ITA97" s="975" t="s">
        <v>819</v>
      </c>
      <c r="ITB97" s="975" t="s">
        <v>819</v>
      </c>
      <c r="ITC97" s="975" t="s">
        <v>819</v>
      </c>
      <c r="ITD97" s="975" t="s">
        <v>819</v>
      </c>
      <c r="ITE97" s="975" t="s">
        <v>819</v>
      </c>
      <c r="ITF97" s="975" t="s">
        <v>819</v>
      </c>
      <c r="ITG97" s="975" t="s">
        <v>819</v>
      </c>
      <c r="ITH97" s="975" t="s">
        <v>819</v>
      </c>
      <c r="ITI97" s="975" t="s">
        <v>819</v>
      </c>
      <c r="ITJ97" s="975" t="s">
        <v>819</v>
      </c>
      <c r="ITK97" s="975" t="s">
        <v>819</v>
      </c>
      <c r="ITL97" s="975" t="s">
        <v>819</v>
      </c>
      <c r="ITM97" s="975" t="s">
        <v>819</v>
      </c>
      <c r="ITN97" s="975" t="s">
        <v>819</v>
      </c>
      <c r="ITO97" s="975" t="s">
        <v>819</v>
      </c>
      <c r="ITP97" s="975" t="s">
        <v>819</v>
      </c>
      <c r="ITQ97" s="975" t="s">
        <v>819</v>
      </c>
      <c r="ITR97" s="975" t="s">
        <v>819</v>
      </c>
      <c r="ITS97" s="975" t="s">
        <v>819</v>
      </c>
      <c r="ITT97" s="975" t="s">
        <v>819</v>
      </c>
      <c r="ITU97" s="975" t="s">
        <v>819</v>
      </c>
      <c r="ITV97" s="975" t="s">
        <v>819</v>
      </c>
      <c r="ITW97" s="975" t="s">
        <v>819</v>
      </c>
      <c r="ITX97" s="975" t="s">
        <v>819</v>
      </c>
      <c r="ITY97" s="975" t="s">
        <v>819</v>
      </c>
      <c r="ITZ97" s="975" t="s">
        <v>819</v>
      </c>
      <c r="IUA97" s="975" t="s">
        <v>819</v>
      </c>
      <c r="IUB97" s="975" t="s">
        <v>819</v>
      </c>
      <c r="IUC97" s="975" t="s">
        <v>819</v>
      </c>
      <c r="IUD97" s="975" t="s">
        <v>819</v>
      </c>
      <c r="IUE97" s="975" t="s">
        <v>819</v>
      </c>
      <c r="IUF97" s="975" t="s">
        <v>819</v>
      </c>
      <c r="IUG97" s="975" t="s">
        <v>819</v>
      </c>
      <c r="IUH97" s="975" t="s">
        <v>819</v>
      </c>
      <c r="IUI97" s="975" t="s">
        <v>819</v>
      </c>
      <c r="IUJ97" s="975" t="s">
        <v>819</v>
      </c>
      <c r="IUK97" s="975" t="s">
        <v>819</v>
      </c>
      <c r="IUL97" s="975" t="s">
        <v>819</v>
      </c>
      <c r="IUM97" s="975" t="s">
        <v>819</v>
      </c>
      <c r="IUN97" s="975" t="s">
        <v>819</v>
      </c>
      <c r="IUO97" s="975" t="s">
        <v>819</v>
      </c>
      <c r="IUP97" s="975" t="s">
        <v>819</v>
      </c>
      <c r="IUQ97" s="975" t="s">
        <v>819</v>
      </c>
      <c r="IUR97" s="975" t="s">
        <v>819</v>
      </c>
      <c r="IUS97" s="975" t="s">
        <v>819</v>
      </c>
      <c r="IUT97" s="975" t="s">
        <v>819</v>
      </c>
      <c r="IUU97" s="975" t="s">
        <v>819</v>
      </c>
      <c r="IUV97" s="975" t="s">
        <v>819</v>
      </c>
      <c r="IUW97" s="975" t="s">
        <v>819</v>
      </c>
      <c r="IUX97" s="975" t="s">
        <v>819</v>
      </c>
      <c r="IUY97" s="975" t="s">
        <v>819</v>
      </c>
      <c r="IUZ97" s="975" t="s">
        <v>819</v>
      </c>
      <c r="IVA97" s="975" t="s">
        <v>819</v>
      </c>
      <c r="IVB97" s="975" t="s">
        <v>819</v>
      </c>
      <c r="IVC97" s="975" t="s">
        <v>819</v>
      </c>
      <c r="IVD97" s="975" t="s">
        <v>819</v>
      </c>
      <c r="IVE97" s="975" t="s">
        <v>819</v>
      </c>
      <c r="IVF97" s="975" t="s">
        <v>819</v>
      </c>
      <c r="IVG97" s="975" t="s">
        <v>819</v>
      </c>
      <c r="IVH97" s="975" t="s">
        <v>819</v>
      </c>
      <c r="IVI97" s="975" t="s">
        <v>819</v>
      </c>
      <c r="IVJ97" s="975" t="s">
        <v>819</v>
      </c>
      <c r="IVK97" s="975" t="s">
        <v>819</v>
      </c>
      <c r="IVL97" s="975" t="s">
        <v>819</v>
      </c>
      <c r="IVM97" s="975" t="s">
        <v>819</v>
      </c>
      <c r="IVN97" s="975" t="s">
        <v>819</v>
      </c>
      <c r="IVO97" s="975" t="s">
        <v>819</v>
      </c>
      <c r="IVP97" s="975" t="s">
        <v>819</v>
      </c>
      <c r="IVQ97" s="975" t="s">
        <v>819</v>
      </c>
      <c r="IVR97" s="975" t="s">
        <v>819</v>
      </c>
      <c r="IVS97" s="975" t="s">
        <v>819</v>
      </c>
      <c r="IVT97" s="975" t="s">
        <v>819</v>
      </c>
      <c r="IVU97" s="975" t="s">
        <v>819</v>
      </c>
      <c r="IVV97" s="975" t="s">
        <v>819</v>
      </c>
      <c r="IVW97" s="975" t="s">
        <v>819</v>
      </c>
      <c r="IVX97" s="975" t="s">
        <v>819</v>
      </c>
      <c r="IVY97" s="975" t="s">
        <v>819</v>
      </c>
      <c r="IVZ97" s="975" t="s">
        <v>819</v>
      </c>
      <c r="IWA97" s="975" t="s">
        <v>819</v>
      </c>
      <c r="IWB97" s="975" t="s">
        <v>819</v>
      </c>
      <c r="IWC97" s="975" t="s">
        <v>819</v>
      </c>
      <c r="IWD97" s="975" t="s">
        <v>819</v>
      </c>
      <c r="IWE97" s="975" t="s">
        <v>819</v>
      </c>
      <c r="IWF97" s="975" t="s">
        <v>819</v>
      </c>
      <c r="IWG97" s="975" t="s">
        <v>819</v>
      </c>
      <c r="IWH97" s="975" t="s">
        <v>819</v>
      </c>
      <c r="IWI97" s="975" t="s">
        <v>819</v>
      </c>
      <c r="IWJ97" s="975" t="s">
        <v>819</v>
      </c>
      <c r="IWK97" s="975" t="s">
        <v>819</v>
      </c>
      <c r="IWL97" s="975" t="s">
        <v>819</v>
      </c>
      <c r="IWM97" s="975" t="s">
        <v>819</v>
      </c>
      <c r="IWN97" s="975" t="s">
        <v>819</v>
      </c>
      <c r="IWO97" s="975" t="s">
        <v>819</v>
      </c>
      <c r="IWP97" s="975" t="s">
        <v>819</v>
      </c>
      <c r="IWQ97" s="975" t="s">
        <v>819</v>
      </c>
      <c r="IWR97" s="975" t="s">
        <v>819</v>
      </c>
      <c r="IWS97" s="975" t="s">
        <v>819</v>
      </c>
      <c r="IWT97" s="975" t="s">
        <v>819</v>
      </c>
      <c r="IWU97" s="975" t="s">
        <v>819</v>
      </c>
      <c r="IWV97" s="975" t="s">
        <v>819</v>
      </c>
      <c r="IWW97" s="975" t="s">
        <v>819</v>
      </c>
      <c r="IWX97" s="975" t="s">
        <v>819</v>
      </c>
      <c r="IWY97" s="975" t="s">
        <v>819</v>
      </c>
      <c r="IWZ97" s="975" t="s">
        <v>819</v>
      </c>
      <c r="IXA97" s="975" t="s">
        <v>819</v>
      </c>
      <c r="IXB97" s="975" t="s">
        <v>819</v>
      </c>
      <c r="IXC97" s="975" t="s">
        <v>819</v>
      </c>
      <c r="IXD97" s="975" t="s">
        <v>819</v>
      </c>
      <c r="IXE97" s="975" t="s">
        <v>819</v>
      </c>
      <c r="IXF97" s="975" t="s">
        <v>819</v>
      </c>
      <c r="IXG97" s="975" t="s">
        <v>819</v>
      </c>
      <c r="IXH97" s="975" t="s">
        <v>819</v>
      </c>
      <c r="IXI97" s="975" t="s">
        <v>819</v>
      </c>
      <c r="IXJ97" s="975" t="s">
        <v>819</v>
      </c>
      <c r="IXK97" s="975" t="s">
        <v>819</v>
      </c>
      <c r="IXL97" s="975" t="s">
        <v>819</v>
      </c>
      <c r="IXM97" s="975" t="s">
        <v>819</v>
      </c>
      <c r="IXN97" s="975" t="s">
        <v>819</v>
      </c>
      <c r="IXO97" s="975" t="s">
        <v>819</v>
      </c>
      <c r="IXP97" s="975" t="s">
        <v>819</v>
      </c>
      <c r="IXQ97" s="975" t="s">
        <v>819</v>
      </c>
      <c r="IXR97" s="975" t="s">
        <v>819</v>
      </c>
      <c r="IXS97" s="975" t="s">
        <v>819</v>
      </c>
      <c r="IXT97" s="975" t="s">
        <v>819</v>
      </c>
      <c r="IXU97" s="975" t="s">
        <v>819</v>
      </c>
      <c r="IXV97" s="975" t="s">
        <v>819</v>
      </c>
      <c r="IXW97" s="975" t="s">
        <v>819</v>
      </c>
      <c r="IXX97" s="975" t="s">
        <v>819</v>
      </c>
      <c r="IXY97" s="975" t="s">
        <v>819</v>
      </c>
      <c r="IXZ97" s="975" t="s">
        <v>819</v>
      </c>
      <c r="IYA97" s="975" t="s">
        <v>819</v>
      </c>
      <c r="IYB97" s="975" t="s">
        <v>819</v>
      </c>
      <c r="IYC97" s="975" t="s">
        <v>819</v>
      </c>
      <c r="IYD97" s="975" t="s">
        <v>819</v>
      </c>
      <c r="IYE97" s="975" t="s">
        <v>819</v>
      </c>
      <c r="IYF97" s="975" t="s">
        <v>819</v>
      </c>
      <c r="IYG97" s="975" t="s">
        <v>819</v>
      </c>
      <c r="IYH97" s="975" t="s">
        <v>819</v>
      </c>
      <c r="IYI97" s="975" t="s">
        <v>819</v>
      </c>
      <c r="IYJ97" s="975" t="s">
        <v>819</v>
      </c>
      <c r="IYK97" s="975" t="s">
        <v>819</v>
      </c>
      <c r="IYL97" s="975" t="s">
        <v>819</v>
      </c>
      <c r="IYM97" s="975" t="s">
        <v>819</v>
      </c>
      <c r="IYN97" s="975" t="s">
        <v>819</v>
      </c>
      <c r="IYO97" s="975" t="s">
        <v>819</v>
      </c>
      <c r="IYP97" s="975" t="s">
        <v>819</v>
      </c>
      <c r="IYQ97" s="975" t="s">
        <v>819</v>
      </c>
      <c r="IYR97" s="975" t="s">
        <v>819</v>
      </c>
      <c r="IYS97" s="975" t="s">
        <v>819</v>
      </c>
      <c r="IYT97" s="975" t="s">
        <v>819</v>
      </c>
      <c r="IYU97" s="975" t="s">
        <v>819</v>
      </c>
      <c r="IYV97" s="975" t="s">
        <v>819</v>
      </c>
      <c r="IYW97" s="975" t="s">
        <v>819</v>
      </c>
      <c r="IYX97" s="975" t="s">
        <v>819</v>
      </c>
      <c r="IYY97" s="975" t="s">
        <v>819</v>
      </c>
      <c r="IYZ97" s="975" t="s">
        <v>819</v>
      </c>
      <c r="IZA97" s="975" t="s">
        <v>819</v>
      </c>
      <c r="IZB97" s="975" t="s">
        <v>819</v>
      </c>
      <c r="IZC97" s="975" t="s">
        <v>819</v>
      </c>
      <c r="IZD97" s="975" t="s">
        <v>819</v>
      </c>
      <c r="IZE97" s="975" t="s">
        <v>819</v>
      </c>
      <c r="IZF97" s="975" t="s">
        <v>819</v>
      </c>
      <c r="IZG97" s="975" t="s">
        <v>819</v>
      </c>
      <c r="IZH97" s="975" t="s">
        <v>819</v>
      </c>
      <c r="IZI97" s="975" t="s">
        <v>819</v>
      </c>
      <c r="IZJ97" s="975" t="s">
        <v>819</v>
      </c>
      <c r="IZK97" s="975" t="s">
        <v>819</v>
      </c>
      <c r="IZL97" s="975" t="s">
        <v>819</v>
      </c>
      <c r="IZM97" s="975" t="s">
        <v>819</v>
      </c>
      <c r="IZN97" s="975" t="s">
        <v>819</v>
      </c>
      <c r="IZO97" s="975" t="s">
        <v>819</v>
      </c>
      <c r="IZP97" s="975" t="s">
        <v>819</v>
      </c>
      <c r="IZQ97" s="975" t="s">
        <v>819</v>
      </c>
      <c r="IZR97" s="975" t="s">
        <v>819</v>
      </c>
      <c r="IZS97" s="975" t="s">
        <v>819</v>
      </c>
      <c r="IZT97" s="975" t="s">
        <v>819</v>
      </c>
      <c r="IZU97" s="975" t="s">
        <v>819</v>
      </c>
      <c r="IZV97" s="975" t="s">
        <v>819</v>
      </c>
      <c r="IZW97" s="975" t="s">
        <v>819</v>
      </c>
      <c r="IZX97" s="975" t="s">
        <v>819</v>
      </c>
      <c r="IZY97" s="975" t="s">
        <v>819</v>
      </c>
      <c r="IZZ97" s="975" t="s">
        <v>819</v>
      </c>
      <c r="JAA97" s="975" t="s">
        <v>819</v>
      </c>
      <c r="JAB97" s="975" t="s">
        <v>819</v>
      </c>
      <c r="JAC97" s="975" t="s">
        <v>819</v>
      </c>
      <c r="JAD97" s="975" t="s">
        <v>819</v>
      </c>
      <c r="JAE97" s="975" t="s">
        <v>819</v>
      </c>
      <c r="JAF97" s="975" t="s">
        <v>819</v>
      </c>
      <c r="JAG97" s="975" t="s">
        <v>819</v>
      </c>
      <c r="JAH97" s="975" t="s">
        <v>819</v>
      </c>
      <c r="JAI97" s="975" t="s">
        <v>819</v>
      </c>
      <c r="JAJ97" s="975" t="s">
        <v>819</v>
      </c>
      <c r="JAK97" s="975" t="s">
        <v>819</v>
      </c>
      <c r="JAL97" s="975" t="s">
        <v>819</v>
      </c>
      <c r="JAM97" s="975" t="s">
        <v>819</v>
      </c>
      <c r="JAN97" s="975" t="s">
        <v>819</v>
      </c>
      <c r="JAO97" s="975" t="s">
        <v>819</v>
      </c>
      <c r="JAP97" s="975" t="s">
        <v>819</v>
      </c>
      <c r="JAQ97" s="975" t="s">
        <v>819</v>
      </c>
      <c r="JAR97" s="975" t="s">
        <v>819</v>
      </c>
      <c r="JAS97" s="975" t="s">
        <v>819</v>
      </c>
      <c r="JAT97" s="975" t="s">
        <v>819</v>
      </c>
      <c r="JAU97" s="975" t="s">
        <v>819</v>
      </c>
      <c r="JAV97" s="975" t="s">
        <v>819</v>
      </c>
      <c r="JAW97" s="975" t="s">
        <v>819</v>
      </c>
      <c r="JAX97" s="975" t="s">
        <v>819</v>
      </c>
      <c r="JAY97" s="975" t="s">
        <v>819</v>
      </c>
      <c r="JAZ97" s="975" t="s">
        <v>819</v>
      </c>
      <c r="JBA97" s="975" t="s">
        <v>819</v>
      </c>
      <c r="JBB97" s="975" t="s">
        <v>819</v>
      </c>
      <c r="JBC97" s="975" t="s">
        <v>819</v>
      </c>
      <c r="JBD97" s="975" t="s">
        <v>819</v>
      </c>
      <c r="JBE97" s="975" t="s">
        <v>819</v>
      </c>
      <c r="JBF97" s="975" t="s">
        <v>819</v>
      </c>
      <c r="JBG97" s="975" t="s">
        <v>819</v>
      </c>
      <c r="JBH97" s="975" t="s">
        <v>819</v>
      </c>
      <c r="JBI97" s="975" t="s">
        <v>819</v>
      </c>
      <c r="JBJ97" s="975" t="s">
        <v>819</v>
      </c>
      <c r="JBK97" s="975" t="s">
        <v>819</v>
      </c>
      <c r="JBL97" s="975" t="s">
        <v>819</v>
      </c>
      <c r="JBM97" s="975" t="s">
        <v>819</v>
      </c>
      <c r="JBN97" s="975" t="s">
        <v>819</v>
      </c>
      <c r="JBO97" s="975" t="s">
        <v>819</v>
      </c>
      <c r="JBP97" s="975" t="s">
        <v>819</v>
      </c>
      <c r="JBQ97" s="975" t="s">
        <v>819</v>
      </c>
      <c r="JBR97" s="975" t="s">
        <v>819</v>
      </c>
      <c r="JBS97" s="975" t="s">
        <v>819</v>
      </c>
      <c r="JBT97" s="975" t="s">
        <v>819</v>
      </c>
      <c r="JBU97" s="975" t="s">
        <v>819</v>
      </c>
      <c r="JBV97" s="975" t="s">
        <v>819</v>
      </c>
      <c r="JBW97" s="975" t="s">
        <v>819</v>
      </c>
      <c r="JBX97" s="975" t="s">
        <v>819</v>
      </c>
      <c r="JBY97" s="975" t="s">
        <v>819</v>
      </c>
      <c r="JBZ97" s="975" t="s">
        <v>819</v>
      </c>
      <c r="JCA97" s="975" t="s">
        <v>819</v>
      </c>
      <c r="JCB97" s="975" t="s">
        <v>819</v>
      </c>
      <c r="JCC97" s="975" t="s">
        <v>819</v>
      </c>
      <c r="JCD97" s="975" t="s">
        <v>819</v>
      </c>
      <c r="JCE97" s="975" t="s">
        <v>819</v>
      </c>
      <c r="JCF97" s="975" t="s">
        <v>819</v>
      </c>
      <c r="JCG97" s="975" t="s">
        <v>819</v>
      </c>
      <c r="JCH97" s="975" t="s">
        <v>819</v>
      </c>
      <c r="JCI97" s="975" t="s">
        <v>819</v>
      </c>
      <c r="JCJ97" s="975" t="s">
        <v>819</v>
      </c>
      <c r="JCK97" s="975" t="s">
        <v>819</v>
      </c>
      <c r="JCL97" s="975" t="s">
        <v>819</v>
      </c>
      <c r="JCM97" s="975" t="s">
        <v>819</v>
      </c>
      <c r="JCN97" s="975" t="s">
        <v>819</v>
      </c>
      <c r="JCO97" s="975" t="s">
        <v>819</v>
      </c>
      <c r="JCP97" s="975" t="s">
        <v>819</v>
      </c>
      <c r="JCQ97" s="975" t="s">
        <v>819</v>
      </c>
      <c r="JCR97" s="975" t="s">
        <v>819</v>
      </c>
      <c r="JCS97" s="975" t="s">
        <v>819</v>
      </c>
      <c r="JCT97" s="975" t="s">
        <v>819</v>
      </c>
      <c r="JCU97" s="975" t="s">
        <v>819</v>
      </c>
      <c r="JCV97" s="975" t="s">
        <v>819</v>
      </c>
      <c r="JCW97" s="975" t="s">
        <v>819</v>
      </c>
      <c r="JCX97" s="975" t="s">
        <v>819</v>
      </c>
      <c r="JCY97" s="975" t="s">
        <v>819</v>
      </c>
      <c r="JCZ97" s="975" t="s">
        <v>819</v>
      </c>
      <c r="JDA97" s="975" t="s">
        <v>819</v>
      </c>
      <c r="JDB97" s="975" t="s">
        <v>819</v>
      </c>
      <c r="JDC97" s="975" t="s">
        <v>819</v>
      </c>
      <c r="JDD97" s="975" t="s">
        <v>819</v>
      </c>
      <c r="JDE97" s="975" t="s">
        <v>819</v>
      </c>
      <c r="JDF97" s="975" t="s">
        <v>819</v>
      </c>
      <c r="JDG97" s="975" t="s">
        <v>819</v>
      </c>
      <c r="JDH97" s="975" t="s">
        <v>819</v>
      </c>
      <c r="JDI97" s="975" t="s">
        <v>819</v>
      </c>
      <c r="JDJ97" s="975" t="s">
        <v>819</v>
      </c>
      <c r="JDK97" s="975" t="s">
        <v>819</v>
      </c>
      <c r="JDL97" s="975" t="s">
        <v>819</v>
      </c>
      <c r="JDM97" s="975" t="s">
        <v>819</v>
      </c>
      <c r="JDN97" s="975" t="s">
        <v>819</v>
      </c>
      <c r="JDO97" s="975" t="s">
        <v>819</v>
      </c>
      <c r="JDP97" s="975" t="s">
        <v>819</v>
      </c>
      <c r="JDQ97" s="975" t="s">
        <v>819</v>
      </c>
      <c r="JDR97" s="975" t="s">
        <v>819</v>
      </c>
      <c r="JDS97" s="975" t="s">
        <v>819</v>
      </c>
      <c r="JDT97" s="975" t="s">
        <v>819</v>
      </c>
      <c r="JDU97" s="975" t="s">
        <v>819</v>
      </c>
      <c r="JDV97" s="975" t="s">
        <v>819</v>
      </c>
      <c r="JDW97" s="975" t="s">
        <v>819</v>
      </c>
      <c r="JDX97" s="975" t="s">
        <v>819</v>
      </c>
      <c r="JDY97" s="975" t="s">
        <v>819</v>
      </c>
      <c r="JDZ97" s="975" t="s">
        <v>819</v>
      </c>
      <c r="JEA97" s="975" t="s">
        <v>819</v>
      </c>
      <c r="JEB97" s="975" t="s">
        <v>819</v>
      </c>
      <c r="JEC97" s="975" t="s">
        <v>819</v>
      </c>
      <c r="JED97" s="975" t="s">
        <v>819</v>
      </c>
      <c r="JEE97" s="975" t="s">
        <v>819</v>
      </c>
      <c r="JEF97" s="975" t="s">
        <v>819</v>
      </c>
      <c r="JEG97" s="975" t="s">
        <v>819</v>
      </c>
      <c r="JEH97" s="975" t="s">
        <v>819</v>
      </c>
      <c r="JEI97" s="975" t="s">
        <v>819</v>
      </c>
      <c r="JEJ97" s="975" t="s">
        <v>819</v>
      </c>
      <c r="JEK97" s="975" t="s">
        <v>819</v>
      </c>
      <c r="JEL97" s="975" t="s">
        <v>819</v>
      </c>
      <c r="JEM97" s="975" t="s">
        <v>819</v>
      </c>
      <c r="JEN97" s="975" t="s">
        <v>819</v>
      </c>
      <c r="JEO97" s="975" t="s">
        <v>819</v>
      </c>
      <c r="JEP97" s="975" t="s">
        <v>819</v>
      </c>
      <c r="JEQ97" s="975" t="s">
        <v>819</v>
      </c>
      <c r="JER97" s="975" t="s">
        <v>819</v>
      </c>
      <c r="JES97" s="975" t="s">
        <v>819</v>
      </c>
      <c r="JET97" s="975" t="s">
        <v>819</v>
      </c>
      <c r="JEU97" s="975" t="s">
        <v>819</v>
      </c>
      <c r="JEV97" s="975" t="s">
        <v>819</v>
      </c>
      <c r="JEW97" s="975" t="s">
        <v>819</v>
      </c>
      <c r="JEX97" s="975" t="s">
        <v>819</v>
      </c>
      <c r="JEY97" s="975" t="s">
        <v>819</v>
      </c>
      <c r="JEZ97" s="975" t="s">
        <v>819</v>
      </c>
      <c r="JFA97" s="975" t="s">
        <v>819</v>
      </c>
      <c r="JFB97" s="975" t="s">
        <v>819</v>
      </c>
      <c r="JFC97" s="975" t="s">
        <v>819</v>
      </c>
      <c r="JFD97" s="975" t="s">
        <v>819</v>
      </c>
      <c r="JFE97" s="975" t="s">
        <v>819</v>
      </c>
      <c r="JFF97" s="975" t="s">
        <v>819</v>
      </c>
      <c r="JFG97" s="975" t="s">
        <v>819</v>
      </c>
      <c r="JFH97" s="975" t="s">
        <v>819</v>
      </c>
      <c r="JFI97" s="975" t="s">
        <v>819</v>
      </c>
      <c r="JFJ97" s="975" t="s">
        <v>819</v>
      </c>
      <c r="JFK97" s="975" t="s">
        <v>819</v>
      </c>
      <c r="JFL97" s="975" t="s">
        <v>819</v>
      </c>
      <c r="JFM97" s="975" t="s">
        <v>819</v>
      </c>
      <c r="JFN97" s="975" t="s">
        <v>819</v>
      </c>
      <c r="JFO97" s="975" t="s">
        <v>819</v>
      </c>
      <c r="JFP97" s="975" t="s">
        <v>819</v>
      </c>
      <c r="JFQ97" s="975" t="s">
        <v>819</v>
      </c>
      <c r="JFR97" s="975" t="s">
        <v>819</v>
      </c>
      <c r="JFS97" s="975" t="s">
        <v>819</v>
      </c>
      <c r="JFT97" s="975" t="s">
        <v>819</v>
      </c>
      <c r="JFU97" s="975" t="s">
        <v>819</v>
      </c>
      <c r="JFV97" s="975" t="s">
        <v>819</v>
      </c>
      <c r="JFW97" s="975" t="s">
        <v>819</v>
      </c>
      <c r="JFX97" s="975" t="s">
        <v>819</v>
      </c>
      <c r="JFY97" s="975" t="s">
        <v>819</v>
      </c>
      <c r="JFZ97" s="975" t="s">
        <v>819</v>
      </c>
      <c r="JGA97" s="975" t="s">
        <v>819</v>
      </c>
      <c r="JGB97" s="975" t="s">
        <v>819</v>
      </c>
      <c r="JGC97" s="975" t="s">
        <v>819</v>
      </c>
      <c r="JGD97" s="975" t="s">
        <v>819</v>
      </c>
      <c r="JGE97" s="975" t="s">
        <v>819</v>
      </c>
      <c r="JGF97" s="975" t="s">
        <v>819</v>
      </c>
      <c r="JGG97" s="975" t="s">
        <v>819</v>
      </c>
      <c r="JGH97" s="975" t="s">
        <v>819</v>
      </c>
      <c r="JGI97" s="975" t="s">
        <v>819</v>
      </c>
      <c r="JGJ97" s="975" t="s">
        <v>819</v>
      </c>
      <c r="JGK97" s="975" t="s">
        <v>819</v>
      </c>
      <c r="JGL97" s="975" t="s">
        <v>819</v>
      </c>
      <c r="JGM97" s="975" t="s">
        <v>819</v>
      </c>
      <c r="JGN97" s="975" t="s">
        <v>819</v>
      </c>
      <c r="JGO97" s="975" t="s">
        <v>819</v>
      </c>
      <c r="JGP97" s="975" t="s">
        <v>819</v>
      </c>
      <c r="JGQ97" s="975" t="s">
        <v>819</v>
      </c>
      <c r="JGR97" s="975" t="s">
        <v>819</v>
      </c>
      <c r="JGS97" s="975" t="s">
        <v>819</v>
      </c>
      <c r="JGT97" s="975" t="s">
        <v>819</v>
      </c>
      <c r="JGU97" s="975" t="s">
        <v>819</v>
      </c>
      <c r="JGV97" s="975" t="s">
        <v>819</v>
      </c>
      <c r="JGW97" s="975" t="s">
        <v>819</v>
      </c>
      <c r="JGX97" s="975" t="s">
        <v>819</v>
      </c>
      <c r="JGY97" s="975" t="s">
        <v>819</v>
      </c>
      <c r="JGZ97" s="975" t="s">
        <v>819</v>
      </c>
      <c r="JHA97" s="975" t="s">
        <v>819</v>
      </c>
      <c r="JHB97" s="975" t="s">
        <v>819</v>
      </c>
      <c r="JHC97" s="975" t="s">
        <v>819</v>
      </c>
      <c r="JHD97" s="975" t="s">
        <v>819</v>
      </c>
      <c r="JHE97" s="975" t="s">
        <v>819</v>
      </c>
      <c r="JHF97" s="975" t="s">
        <v>819</v>
      </c>
      <c r="JHG97" s="975" t="s">
        <v>819</v>
      </c>
      <c r="JHH97" s="975" t="s">
        <v>819</v>
      </c>
      <c r="JHI97" s="975" t="s">
        <v>819</v>
      </c>
      <c r="JHJ97" s="975" t="s">
        <v>819</v>
      </c>
      <c r="JHK97" s="975" t="s">
        <v>819</v>
      </c>
      <c r="JHL97" s="975" t="s">
        <v>819</v>
      </c>
      <c r="JHM97" s="975" t="s">
        <v>819</v>
      </c>
      <c r="JHN97" s="975" t="s">
        <v>819</v>
      </c>
      <c r="JHO97" s="975" t="s">
        <v>819</v>
      </c>
      <c r="JHP97" s="975" t="s">
        <v>819</v>
      </c>
      <c r="JHQ97" s="975" t="s">
        <v>819</v>
      </c>
      <c r="JHR97" s="975" t="s">
        <v>819</v>
      </c>
      <c r="JHS97" s="975" t="s">
        <v>819</v>
      </c>
      <c r="JHT97" s="975" t="s">
        <v>819</v>
      </c>
      <c r="JHU97" s="975" t="s">
        <v>819</v>
      </c>
      <c r="JHV97" s="975" t="s">
        <v>819</v>
      </c>
      <c r="JHW97" s="975" t="s">
        <v>819</v>
      </c>
      <c r="JHX97" s="975" t="s">
        <v>819</v>
      </c>
      <c r="JHY97" s="975" t="s">
        <v>819</v>
      </c>
      <c r="JHZ97" s="975" t="s">
        <v>819</v>
      </c>
      <c r="JIA97" s="975" t="s">
        <v>819</v>
      </c>
      <c r="JIB97" s="975" t="s">
        <v>819</v>
      </c>
      <c r="JIC97" s="975" t="s">
        <v>819</v>
      </c>
      <c r="JID97" s="975" t="s">
        <v>819</v>
      </c>
      <c r="JIE97" s="975" t="s">
        <v>819</v>
      </c>
      <c r="JIF97" s="975" t="s">
        <v>819</v>
      </c>
      <c r="JIG97" s="975" t="s">
        <v>819</v>
      </c>
      <c r="JIH97" s="975" t="s">
        <v>819</v>
      </c>
      <c r="JII97" s="975" t="s">
        <v>819</v>
      </c>
      <c r="JIJ97" s="975" t="s">
        <v>819</v>
      </c>
      <c r="JIK97" s="975" t="s">
        <v>819</v>
      </c>
      <c r="JIL97" s="975" t="s">
        <v>819</v>
      </c>
      <c r="JIM97" s="975" t="s">
        <v>819</v>
      </c>
      <c r="JIN97" s="975" t="s">
        <v>819</v>
      </c>
      <c r="JIO97" s="975" t="s">
        <v>819</v>
      </c>
      <c r="JIP97" s="975" t="s">
        <v>819</v>
      </c>
      <c r="JIQ97" s="975" t="s">
        <v>819</v>
      </c>
      <c r="JIR97" s="975" t="s">
        <v>819</v>
      </c>
      <c r="JIS97" s="975" t="s">
        <v>819</v>
      </c>
      <c r="JIT97" s="975" t="s">
        <v>819</v>
      </c>
      <c r="JIU97" s="975" t="s">
        <v>819</v>
      </c>
      <c r="JIV97" s="975" t="s">
        <v>819</v>
      </c>
      <c r="JIW97" s="975" t="s">
        <v>819</v>
      </c>
      <c r="JIX97" s="975" t="s">
        <v>819</v>
      </c>
      <c r="JIY97" s="975" t="s">
        <v>819</v>
      </c>
      <c r="JIZ97" s="975" t="s">
        <v>819</v>
      </c>
      <c r="JJA97" s="975" t="s">
        <v>819</v>
      </c>
      <c r="JJB97" s="975" t="s">
        <v>819</v>
      </c>
      <c r="JJC97" s="975" t="s">
        <v>819</v>
      </c>
      <c r="JJD97" s="975" t="s">
        <v>819</v>
      </c>
      <c r="JJE97" s="975" t="s">
        <v>819</v>
      </c>
      <c r="JJF97" s="975" t="s">
        <v>819</v>
      </c>
      <c r="JJG97" s="975" t="s">
        <v>819</v>
      </c>
      <c r="JJH97" s="975" t="s">
        <v>819</v>
      </c>
      <c r="JJI97" s="975" t="s">
        <v>819</v>
      </c>
      <c r="JJJ97" s="975" t="s">
        <v>819</v>
      </c>
      <c r="JJK97" s="975" t="s">
        <v>819</v>
      </c>
      <c r="JJL97" s="975" t="s">
        <v>819</v>
      </c>
      <c r="JJM97" s="975" t="s">
        <v>819</v>
      </c>
      <c r="JJN97" s="975" t="s">
        <v>819</v>
      </c>
      <c r="JJO97" s="975" t="s">
        <v>819</v>
      </c>
      <c r="JJP97" s="975" t="s">
        <v>819</v>
      </c>
      <c r="JJQ97" s="975" t="s">
        <v>819</v>
      </c>
      <c r="JJR97" s="975" t="s">
        <v>819</v>
      </c>
      <c r="JJS97" s="975" t="s">
        <v>819</v>
      </c>
      <c r="JJT97" s="975" t="s">
        <v>819</v>
      </c>
      <c r="JJU97" s="975" t="s">
        <v>819</v>
      </c>
      <c r="JJV97" s="975" t="s">
        <v>819</v>
      </c>
      <c r="JJW97" s="975" t="s">
        <v>819</v>
      </c>
      <c r="JJX97" s="975" t="s">
        <v>819</v>
      </c>
      <c r="JJY97" s="975" t="s">
        <v>819</v>
      </c>
      <c r="JJZ97" s="975" t="s">
        <v>819</v>
      </c>
      <c r="JKA97" s="975" t="s">
        <v>819</v>
      </c>
      <c r="JKB97" s="975" t="s">
        <v>819</v>
      </c>
      <c r="JKC97" s="975" t="s">
        <v>819</v>
      </c>
      <c r="JKD97" s="975" t="s">
        <v>819</v>
      </c>
      <c r="JKE97" s="975" t="s">
        <v>819</v>
      </c>
      <c r="JKF97" s="975" t="s">
        <v>819</v>
      </c>
      <c r="JKG97" s="975" t="s">
        <v>819</v>
      </c>
      <c r="JKH97" s="975" t="s">
        <v>819</v>
      </c>
      <c r="JKI97" s="975" t="s">
        <v>819</v>
      </c>
      <c r="JKJ97" s="975" t="s">
        <v>819</v>
      </c>
      <c r="JKK97" s="975" t="s">
        <v>819</v>
      </c>
      <c r="JKL97" s="975" t="s">
        <v>819</v>
      </c>
      <c r="JKM97" s="975" t="s">
        <v>819</v>
      </c>
      <c r="JKN97" s="975" t="s">
        <v>819</v>
      </c>
      <c r="JKO97" s="975" t="s">
        <v>819</v>
      </c>
      <c r="JKP97" s="975" t="s">
        <v>819</v>
      </c>
      <c r="JKQ97" s="975" t="s">
        <v>819</v>
      </c>
      <c r="JKR97" s="975" t="s">
        <v>819</v>
      </c>
      <c r="JKS97" s="975" t="s">
        <v>819</v>
      </c>
      <c r="JKT97" s="975" t="s">
        <v>819</v>
      </c>
      <c r="JKU97" s="975" t="s">
        <v>819</v>
      </c>
      <c r="JKV97" s="975" t="s">
        <v>819</v>
      </c>
      <c r="JKW97" s="975" t="s">
        <v>819</v>
      </c>
      <c r="JKX97" s="975" t="s">
        <v>819</v>
      </c>
      <c r="JKY97" s="975" t="s">
        <v>819</v>
      </c>
      <c r="JKZ97" s="975" t="s">
        <v>819</v>
      </c>
      <c r="JLA97" s="975" t="s">
        <v>819</v>
      </c>
      <c r="JLB97" s="975" t="s">
        <v>819</v>
      </c>
      <c r="JLC97" s="975" t="s">
        <v>819</v>
      </c>
      <c r="JLD97" s="975" t="s">
        <v>819</v>
      </c>
      <c r="JLE97" s="975" t="s">
        <v>819</v>
      </c>
      <c r="JLF97" s="975" t="s">
        <v>819</v>
      </c>
      <c r="JLG97" s="975" t="s">
        <v>819</v>
      </c>
      <c r="JLH97" s="975" t="s">
        <v>819</v>
      </c>
      <c r="JLI97" s="975" t="s">
        <v>819</v>
      </c>
      <c r="JLJ97" s="975" t="s">
        <v>819</v>
      </c>
      <c r="JLK97" s="975" t="s">
        <v>819</v>
      </c>
      <c r="JLL97" s="975" t="s">
        <v>819</v>
      </c>
      <c r="JLM97" s="975" t="s">
        <v>819</v>
      </c>
      <c r="JLN97" s="975" t="s">
        <v>819</v>
      </c>
      <c r="JLO97" s="975" t="s">
        <v>819</v>
      </c>
      <c r="JLP97" s="975" t="s">
        <v>819</v>
      </c>
      <c r="JLQ97" s="975" t="s">
        <v>819</v>
      </c>
      <c r="JLR97" s="975" t="s">
        <v>819</v>
      </c>
      <c r="JLS97" s="975" t="s">
        <v>819</v>
      </c>
      <c r="JLT97" s="975" t="s">
        <v>819</v>
      </c>
      <c r="JLU97" s="975" t="s">
        <v>819</v>
      </c>
      <c r="JLV97" s="975" t="s">
        <v>819</v>
      </c>
      <c r="JLW97" s="975" t="s">
        <v>819</v>
      </c>
      <c r="JLX97" s="975" t="s">
        <v>819</v>
      </c>
      <c r="JLY97" s="975" t="s">
        <v>819</v>
      </c>
      <c r="JLZ97" s="975" t="s">
        <v>819</v>
      </c>
      <c r="JMA97" s="975" t="s">
        <v>819</v>
      </c>
      <c r="JMB97" s="975" t="s">
        <v>819</v>
      </c>
      <c r="JMC97" s="975" t="s">
        <v>819</v>
      </c>
      <c r="JMD97" s="975" t="s">
        <v>819</v>
      </c>
      <c r="JME97" s="975" t="s">
        <v>819</v>
      </c>
      <c r="JMF97" s="975" t="s">
        <v>819</v>
      </c>
      <c r="JMG97" s="975" t="s">
        <v>819</v>
      </c>
      <c r="JMH97" s="975" t="s">
        <v>819</v>
      </c>
      <c r="JMI97" s="975" t="s">
        <v>819</v>
      </c>
      <c r="JMJ97" s="975" t="s">
        <v>819</v>
      </c>
      <c r="JMK97" s="975" t="s">
        <v>819</v>
      </c>
      <c r="JML97" s="975" t="s">
        <v>819</v>
      </c>
      <c r="JMM97" s="975" t="s">
        <v>819</v>
      </c>
      <c r="JMN97" s="975" t="s">
        <v>819</v>
      </c>
      <c r="JMO97" s="975" t="s">
        <v>819</v>
      </c>
      <c r="JMP97" s="975" t="s">
        <v>819</v>
      </c>
      <c r="JMQ97" s="975" t="s">
        <v>819</v>
      </c>
      <c r="JMR97" s="975" t="s">
        <v>819</v>
      </c>
      <c r="JMS97" s="975" t="s">
        <v>819</v>
      </c>
      <c r="JMT97" s="975" t="s">
        <v>819</v>
      </c>
      <c r="JMU97" s="975" t="s">
        <v>819</v>
      </c>
      <c r="JMV97" s="975" t="s">
        <v>819</v>
      </c>
      <c r="JMW97" s="975" t="s">
        <v>819</v>
      </c>
      <c r="JMX97" s="975" t="s">
        <v>819</v>
      </c>
      <c r="JMY97" s="975" t="s">
        <v>819</v>
      </c>
      <c r="JMZ97" s="975" t="s">
        <v>819</v>
      </c>
      <c r="JNA97" s="975" t="s">
        <v>819</v>
      </c>
      <c r="JNB97" s="975" t="s">
        <v>819</v>
      </c>
      <c r="JNC97" s="975" t="s">
        <v>819</v>
      </c>
      <c r="JND97" s="975" t="s">
        <v>819</v>
      </c>
      <c r="JNE97" s="975" t="s">
        <v>819</v>
      </c>
      <c r="JNF97" s="975" t="s">
        <v>819</v>
      </c>
      <c r="JNG97" s="975" t="s">
        <v>819</v>
      </c>
      <c r="JNH97" s="975" t="s">
        <v>819</v>
      </c>
      <c r="JNI97" s="975" t="s">
        <v>819</v>
      </c>
      <c r="JNJ97" s="975" t="s">
        <v>819</v>
      </c>
      <c r="JNK97" s="975" t="s">
        <v>819</v>
      </c>
      <c r="JNL97" s="975" t="s">
        <v>819</v>
      </c>
      <c r="JNM97" s="975" t="s">
        <v>819</v>
      </c>
      <c r="JNN97" s="975" t="s">
        <v>819</v>
      </c>
      <c r="JNO97" s="975" t="s">
        <v>819</v>
      </c>
      <c r="JNP97" s="975" t="s">
        <v>819</v>
      </c>
      <c r="JNQ97" s="975" t="s">
        <v>819</v>
      </c>
      <c r="JNR97" s="975" t="s">
        <v>819</v>
      </c>
      <c r="JNS97" s="975" t="s">
        <v>819</v>
      </c>
      <c r="JNT97" s="975" t="s">
        <v>819</v>
      </c>
      <c r="JNU97" s="975" t="s">
        <v>819</v>
      </c>
      <c r="JNV97" s="975" t="s">
        <v>819</v>
      </c>
      <c r="JNW97" s="975" t="s">
        <v>819</v>
      </c>
      <c r="JNX97" s="975" t="s">
        <v>819</v>
      </c>
      <c r="JNY97" s="975" t="s">
        <v>819</v>
      </c>
      <c r="JNZ97" s="975" t="s">
        <v>819</v>
      </c>
      <c r="JOA97" s="975" t="s">
        <v>819</v>
      </c>
      <c r="JOB97" s="975" t="s">
        <v>819</v>
      </c>
      <c r="JOC97" s="975" t="s">
        <v>819</v>
      </c>
      <c r="JOD97" s="975" t="s">
        <v>819</v>
      </c>
      <c r="JOE97" s="975" t="s">
        <v>819</v>
      </c>
      <c r="JOF97" s="975" t="s">
        <v>819</v>
      </c>
      <c r="JOG97" s="975" t="s">
        <v>819</v>
      </c>
      <c r="JOH97" s="975" t="s">
        <v>819</v>
      </c>
      <c r="JOI97" s="975" t="s">
        <v>819</v>
      </c>
      <c r="JOJ97" s="975" t="s">
        <v>819</v>
      </c>
      <c r="JOK97" s="975" t="s">
        <v>819</v>
      </c>
      <c r="JOL97" s="975" t="s">
        <v>819</v>
      </c>
      <c r="JOM97" s="975" t="s">
        <v>819</v>
      </c>
      <c r="JON97" s="975" t="s">
        <v>819</v>
      </c>
      <c r="JOO97" s="975" t="s">
        <v>819</v>
      </c>
      <c r="JOP97" s="975" t="s">
        <v>819</v>
      </c>
      <c r="JOQ97" s="975" t="s">
        <v>819</v>
      </c>
      <c r="JOR97" s="975" t="s">
        <v>819</v>
      </c>
      <c r="JOS97" s="975" t="s">
        <v>819</v>
      </c>
      <c r="JOT97" s="975" t="s">
        <v>819</v>
      </c>
      <c r="JOU97" s="975" t="s">
        <v>819</v>
      </c>
      <c r="JOV97" s="975" t="s">
        <v>819</v>
      </c>
      <c r="JOW97" s="975" t="s">
        <v>819</v>
      </c>
      <c r="JOX97" s="975" t="s">
        <v>819</v>
      </c>
      <c r="JOY97" s="975" t="s">
        <v>819</v>
      </c>
      <c r="JOZ97" s="975" t="s">
        <v>819</v>
      </c>
      <c r="JPA97" s="975" t="s">
        <v>819</v>
      </c>
      <c r="JPB97" s="975" t="s">
        <v>819</v>
      </c>
      <c r="JPC97" s="975" t="s">
        <v>819</v>
      </c>
      <c r="JPD97" s="975" t="s">
        <v>819</v>
      </c>
      <c r="JPE97" s="975" t="s">
        <v>819</v>
      </c>
      <c r="JPF97" s="975" t="s">
        <v>819</v>
      </c>
      <c r="JPG97" s="975" t="s">
        <v>819</v>
      </c>
      <c r="JPH97" s="975" t="s">
        <v>819</v>
      </c>
      <c r="JPI97" s="975" t="s">
        <v>819</v>
      </c>
      <c r="JPJ97" s="975" t="s">
        <v>819</v>
      </c>
      <c r="JPK97" s="975" t="s">
        <v>819</v>
      </c>
      <c r="JPL97" s="975" t="s">
        <v>819</v>
      </c>
      <c r="JPM97" s="975" t="s">
        <v>819</v>
      </c>
      <c r="JPN97" s="975" t="s">
        <v>819</v>
      </c>
      <c r="JPO97" s="975" t="s">
        <v>819</v>
      </c>
      <c r="JPP97" s="975" t="s">
        <v>819</v>
      </c>
      <c r="JPQ97" s="975" t="s">
        <v>819</v>
      </c>
      <c r="JPR97" s="975" t="s">
        <v>819</v>
      </c>
      <c r="JPS97" s="975" t="s">
        <v>819</v>
      </c>
      <c r="JPT97" s="975" t="s">
        <v>819</v>
      </c>
      <c r="JPU97" s="975" t="s">
        <v>819</v>
      </c>
      <c r="JPV97" s="975" t="s">
        <v>819</v>
      </c>
      <c r="JPW97" s="975" t="s">
        <v>819</v>
      </c>
      <c r="JPX97" s="975" t="s">
        <v>819</v>
      </c>
      <c r="JPY97" s="975" t="s">
        <v>819</v>
      </c>
      <c r="JPZ97" s="975" t="s">
        <v>819</v>
      </c>
      <c r="JQA97" s="975" t="s">
        <v>819</v>
      </c>
      <c r="JQB97" s="975" t="s">
        <v>819</v>
      </c>
      <c r="JQC97" s="975" t="s">
        <v>819</v>
      </c>
      <c r="JQD97" s="975" t="s">
        <v>819</v>
      </c>
      <c r="JQE97" s="975" t="s">
        <v>819</v>
      </c>
      <c r="JQF97" s="975" t="s">
        <v>819</v>
      </c>
      <c r="JQG97" s="975" t="s">
        <v>819</v>
      </c>
      <c r="JQH97" s="975" t="s">
        <v>819</v>
      </c>
      <c r="JQI97" s="975" t="s">
        <v>819</v>
      </c>
      <c r="JQJ97" s="975" t="s">
        <v>819</v>
      </c>
      <c r="JQK97" s="975" t="s">
        <v>819</v>
      </c>
      <c r="JQL97" s="975" t="s">
        <v>819</v>
      </c>
      <c r="JQM97" s="975" t="s">
        <v>819</v>
      </c>
      <c r="JQN97" s="975" t="s">
        <v>819</v>
      </c>
      <c r="JQO97" s="975" t="s">
        <v>819</v>
      </c>
      <c r="JQP97" s="975" t="s">
        <v>819</v>
      </c>
      <c r="JQQ97" s="975" t="s">
        <v>819</v>
      </c>
      <c r="JQR97" s="975" t="s">
        <v>819</v>
      </c>
      <c r="JQS97" s="975" t="s">
        <v>819</v>
      </c>
      <c r="JQT97" s="975" t="s">
        <v>819</v>
      </c>
      <c r="JQU97" s="975" t="s">
        <v>819</v>
      </c>
      <c r="JQV97" s="975" t="s">
        <v>819</v>
      </c>
      <c r="JQW97" s="975" t="s">
        <v>819</v>
      </c>
      <c r="JQX97" s="975" t="s">
        <v>819</v>
      </c>
      <c r="JQY97" s="975" t="s">
        <v>819</v>
      </c>
      <c r="JQZ97" s="975" t="s">
        <v>819</v>
      </c>
      <c r="JRA97" s="975" t="s">
        <v>819</v>
      </c>
      <c r="JRB97" s="975" t="s">
        <v>819</v>
      </c>
      <c r="JRC97" s="975" t="s">
        <v>819</v>
      </c>
      <c r="JRD97" s="975" t="s">
        <v>819</v>
      </c>
      <c r="JRE97" s="975" t="s">
        <v>819</v>
      </c>
      <c r="JRF97" s="975" t="s">
        <v>819</v>
      </c>
      <c r="JRG97" s="975" t="s">
        <v>819</v>
      </c>
      <c r="JRH97" s="975" t="s">
        <v>819</v>
      </c>
      <c r="JRI97" s="975" t="s">
        <v>819</v>
      </c>
      <c r="JRJ97" s="975" t="s">
        <v>819</v>
      </c>
      <c r="JRK97" s="975" t="s">
        <v>819</v>
      </c>
      <c r="JRL97" s="975" t="s">
        <v>819</v>
      </c>
      <c r="JRM97" s="975" t="s">
        <v>819</v>
      </c>
      <c r="JRN97" s="975" t="s">
        <v>819</v>
      </c>
      <c r="JRO97" s="975" t="s">
        <v>819</v>
      </c>
      <c r="JRP97" s="975" t="s">
        <v>819</v>
      </c>
      <c r="JRQ97" s="975" t="s">
        <v>819</v>
      </c>
      <c r="JRR97" s="975" t="s">
        <v>819</v>
      </c>
      <c r="JRS97" s="975" t="s">
        <v>819</v>
      </c>
      <c r="JRT97" s="975" t="s">
        <v>819</v>
      </c>
      <c r="JRU97" s="975" t="s">
        <v>819</v>
      </c>
      <c r="JRV97" s="975" t="s">
        <v>819</v>
      </c>
      <c r="JRW97" s="975" t="s">
        <v>819</v>
      </c>
      <c r="JRX97" s="975" t="s">
        <v>819</v>
      </c>
      <c r="JRY97" s="975" t="s">
        <v>819</v>
      </c>
      <c r="JRZ97" s="975" t="s">
        <v>819</v>
      </c>
      <c r="JSA97" s="975" t="s">
        <v>819</v>
      </c>
      <c r="JSB97" s="975" t="s">
        <v>819</v>
      </c>
      <c r="JSC97" s="975" t="s">
        <v>819</v>
      </c>
      <c r="JSD97" s="975" t="s">
        <v>819</v>
      </c>
      <c r="JSE97" s="975" t="s">
        <v>819</v>
      </c>
      <c r="JSF97" s="975" t="s">
        <v>819</v>
      </c>
      <c r="JSG97" s="975" t="s">
        <v>819</v>
      </c>
      <c r="JSH97" s="975" t="s">
        <v>819</v>
      </c>
      <c r="JSI97" s="975" t="s">
        <v>819</v>
      </c>
      <c r="JSJ97" s="975" t="s">
        <v>819</v>
      </c>
      <c r="JSK97" s="975" t="s">
        <v>819</v>
      </c>
      <c r="JSL97" s="975" t="s">
        <v>819</v>
      </c>
      <c r="JSM97" s="975" t="s">
        <v>819</v>
      </c>
      <c r="JSN97" s="975" t="s">
        <v>819</v>
      </c>
      <c r="JSO97" s="975" t="s">
        <v>819</v>
      </c>
      <c r="JSP97" s="975" t="s">
        <v>819</v>
      </c>
      <c r="JSQ97" s="975" t="s">
        <v>819</v>
      </c>
      <c r="JSR97" s="975" t="s">
        <v>819</v>
      </c>
      <c r="JSS97" s="975" t="s">
        <v>819</v>
      </c>
      <c r="JST97" s="975" t="s">
        <v>819</v>
      </c>
      <c r="JSU97" s="975" t="s">
        <v>819</v>
      </c>
      <c r="JSV97" s="975" t="s">
        <v>819</v>
      </c>
      <c r="JSW97" s="975" t="s">
        <v>819</v>
      </c>
      <c r="JSX97" s="975" t="s">
        <v>819</v>
      </c>
      <c r="JSY97" s="975" t="s">
        <v>819</v>
      </c>
      <c r="JSZ97" s="975" t="s">
        <v>819</v>
      </c>
      <c r="JTA97" s="975" t="s">
        <v>819</v>
      </c>
      <c r="JTB97" s="975" t="s">
        <v>819</v>
      </c>
      <c r="JTC97" s="975" t="s">
        <v>819</v>
      </c>
      <c r="JTD97" s="975" t="s">
        <v>819</v>
      </c>
      <c r="JTE97" s="975" t="s">
        <v>819</v>
      </c>
      <c r="JTF97" s="975" t="s">
        <v>819</v>
      </c>
      <c r="JTG97" s="975" t="s">
        <v>819</v>
      </c>
      <c r="JTH97" s="975" t="s">
        <v>819</v>
      </c>
      <c r="JTI97" s="975" t="s">
        <v>819</v>
      </c>
      <c r="JTJ97" s="975" t="s">
        <v>819</v>
      </c>
      <c r="JTK97" s="975" t="s">
        <v>819</v>
      </c>
      <c r="JTL97" s="975" t="s">
        <v>819</v>
      </c>
      <c r="JTM97" s="975" t="s">
        <v>819</v>
      </c>
      <c r="JTN97" s="975" t="s">
        <v>819</v>
      </c>
      <c r="JTO97" s="975" t="s">
        <v>819</v>
      </c>
      <c r="JTP97" s="975" t="s">
        <v>819</v>
      </c>
      <c r="JTQ97" s="975" t="s">
        <v>819</v>
      </c>
      <c r="JTR97" s="975" t="s">
        <v>819</v>
      </c>
      <c r="JTS97" s="975" t="s">
        <v>819</v>
      </c>
      <c r="JTT97" s="975" t="s">
        <v>819</v>
      </c>
      <c r="JTU97" s="975" t="s">
        <v>819</v>
      </c>
      <c r="JTV97" s="975" t="s">
        <v>819</v>
      </c>
      <c r="JTW97" s="975" t="s">
        <v>819</v>
      </c>
      <c r="JTX97" s="975" t="s">
        <v>819</v>
      </c>
      <c r="JTY97" s="975" t="s">
        <v>819</v>
      </c>
      <c r="JTZ97" s="975" t="s">
        <v>819</v>
      </c>
      <c r="JUA97" s="975" t="s">
        <v>819</v>
      </c>
      <c r="JUB97" s="975" t="s">
        <v>819</v>
      </c>
      <c r="JUC97" s="975" t="s">
        <v>819</v>
      </c>
      <c r="JUD97" s="975" t="s">
        <v>819</v>
      </c>
      <c r="JUE97" s="975" t="s">
        <v>819</v>
      </c>
      <c r="JUF97" s="975" t="s">
        <v>819</v>
      </c>
      <c r="JUG97" s="975" t="s">
        <v>819</v>
      </c>
      <c r="JUH97" s="975" t="s">
        <v>819</v>
      </c>
      <c r="JUI97" s="975" t="s">
        <v>819</v>
      </c>
      <c r="JUJ97" s="975" t="s">
        <v>819</v>
      </c>
      <c r="JUK97" s="975" t="s">
        <v>819</v>
      </c>
      <c r="JUL97" s="975" t="s">
        <v>819</v>
      </c>
      <c r="JUM97" s="975" t="s">
        <v>819</v>
      </c>
      <c r="JUN97" s="975" t="s">
        <v>819</v>
      </c>
      <c r="JUO97" s="975" t="s">
        <v>819</v>
      </c>
      <c r="JUP97" s="975" t="s">
        <v>819</v>
      </c>
      <c r="JUQ97" s="975" t="s">
        <v>819</v>
      </c>
      <c r="JUR97" s="975" t="s">
        <v>819</v>
      </c>
      <c r="JUS97" s="975" t="s">
        <v>819</v>
      </c>
      <c r="JUT97" s="975" t="s">
        <v>819</v>
      </c>
      <c r="JUU97" s="975" t="s">
        <v>819</v>
      </c>
      <c r="JUV97" s="975" t="s">
        <v>819</v>
      </c>
      <c r="JUW97" s="975" t="s">
        <v>819</v>
      </c>
      <c r="JUX97" s="975" t="s">
        <v>819</v>
      </c>
      <c r="JUY97" s="975" t="s">
        <v>819</v>
      </c>
      <c r="JUZ97" s="975" t="s">
        <v>819</v>
      </c>
      <c r="JVA97" s="975" t="s">
        <v>819</v>
      </c>
      <c r="JVB97" s="975" t="s">
        <v>819</v>
      </c>
      <c r="JVC97" s="975" t="s">
        <v>819</v>
      </c>
      <c r="JVD97" s="975" t="s">
        <v>819</v>
      </c>
      <c r="JVE97" s="975" t="s">
        <v>819</v>
      </c>
      <c r="JVF97" s="975" t="s">
        <v>819</v>
      </c>
      <c r="JVG97" s="975" t="s">
        <v>819</v>
      </c>
      <c r="JVH97" s="975" t="s">
        <v>819</v>
      </c>
      <c r="JVI97" s="975" t="s">
        <v>819</v>
      </c>
      <c r="JVJ97" s="975" t="s">
        <v>819</v>
      </c>
      <c r="JVK97" s="975" t="s">
        <v>819</v>
      </c>
      <c r="JVL97" s="975" t="s">
        <v>819</v>
      </c>
      <c r="JVM97" s="975" t="s">
        <v>819</v>
      </c>
      <c r="JVN97" s="975" t="s">
        <v>819</v>
      </c>
      <c r="JVO97" s="975" t="s">
        <v>819</v>
      </c>
      <c r="JVP97" s="975" t="s">
        <v>819</v>
      </c>
      <c r="JVQ97" s="975" t="s">
        <v>819</v>
      </c>
      <c r="JVR97" s="975" t="s">
        <v>819</v>
      </c>
      <c r="JVS97" s="975" t="s">
        <v>819</v>
      </c>
      <c r="JVT97" s="975" t="s">
        <v>819</v>
      </c>
      <c r="JVU97" s="975" t="s">
        <v>819</v>
      </c>
      <c r="JVV97" s="975" t="s">
        <v>819</v>
      </c>
      <c r="JVW97" s="975" t="s">
        <v>819</v>
      </c>
      <c r="JVX97" s="975" t="s">
        <v>819</v>
      </c>
      <c r="JVY97" s="975" t="s">
        <v>819</v>
      </c>
      <c r="JVZ97" s="975" t="s">
        <v>819</v>
      </c>
      <c r="JWA97" s="975" t="s">
        <v>819</v>
      </c>
      <c r="JWB97" s="975" t="s">
        <v>819</v>
      </c>
      <c r="JWC97" s="975" t="s">
        <v>819</v>
      </c>
      <c r="JWD97" s="975" t="s">
        <v>819</v>
      </c>
      <c r="JWE97" s="975" t="s">
        <v>819</v>
      </c>
      <c r="JWF97" s="975" t="s">
        <v>819</v>
      </c>
      <c r="JWG97" s="975" t="s">
        <v>819</v>
      </c>
      <c r="JWH97" s="975" t="s">
        <v>819</v>
      </c>
      <c r="JWI97" s="975" t="s">
        <v>819</v>
      </c>
      <c r="JWJ97" s="975" t="s">
        <v>819</v>
      </c>
      <c r="JWK97" s="975" t="s">
        <v>819</v>
      </c>
      <c r="JWL97" s="975" t="s">
        <v>819</v>
      </c>
      <c r="JWM97" s="975" t="s">
        <v>819</v>
      </c>
      <c r="JWN97" s="975" t="s">
        <v>819</v>
      </c>
      <c r="JWO97" s="975" t="s">
        <v>819</v>
      </c>
      <c r="JWP97" s="975" t="s">
        <v>819</v>
      </c>
      <c r="JWQ97" s="975" t="s">
        <v>819</v>
      </c>
      <c r="JWR97" s="975" t="s">
        <v>819</v>
      </c>
      <c r="JWS97" s="975" t="s">
        <v>819</v>
      </c>
      <c r="JWT97" s="975" t="s">
        <v>819</v>
      </c>
      <c r="JWU97" s="975" t="s">
        <v>819</v>
      </c>
      <c r="JWV97" s="975" t="s">
        <v>819</v>
      </c>
      <c r="JWW97" s="975" t="s">
        <v>819</v>
      </c>
      <c r="JWX97" s="975" t="s">
        <v>819</v>
      </c>
      <c r="JWY97" s="975" t="s">
        <v>819</v>
      </c>
      <c r="JWZ97" s="975" t="s">
        <v>819</v>
      </c>
      <c r="JXA97" s="975" t="s">
        <v>819</v>
      </c>
      <c r="JXB97" s="975" t="s">
        <v>819</v>
      </c>
      <c r="JXC97" s="975" t="s">
        <v>819</v>
      </c>
      <c r="JXD97" s="975" t="s">
        <v>819</v>
      </c>
      <c r="JXE97" s="975" t="s">
        <v>819</v>
      </c>
      <c r="JXF97" s="975" t="s">
        <v>819</v>
      </c>
      <c r="JXG97" s="975" t="s">
        <v>819</v>
      </c>
      <c r="JXH97" s="975" t="s">
        <v>819</v>
      </c>
      <c r="JXI97" s="975" t="s">
        <v>819</v>
      </c>
      <c r="JXJ97" s="975" t="s">
        <v>819</v>
      </c>
      <c r="JXK97" s="975" t="s">
        <v>819</v>
      </c>
      <c r="JXL97" s="975" t="s">
        <v>819</v>
      </c>
      <c r="JXM97" s="975" t="s">
        <v>819</v>
      </c>
      <c r="JXN97" s="975" t="s">
        <v>819</v>
      </c>
      <c r="JXO97" s="975" t="s">
        <v>819</v>
      </c>
      <c r="JXP97" s="975" t="s">
        <v>819</v>
      </c>
      <c r="JXQ97" s="975" t="s">
        <v>819</v>
      </c>
      <c r="JXR97" s="975" t="s">
        <v>819</v>
      </c>
      <c r="JXS97" s="975" t="s">
        <v>819</v>
      </c>
      <c r="JXT97" s="975" t="s">
        <v>819</v>
      </c>
      <c r="JXU97" s="975" t="s">
        <v>819</v>
      </c>
      <c r="JXV97" s="975" t="s">
        <v>819</v>
      </c>
      <c r="JXW97" s="975" t="s">
        <v>819</v>
      </c>
      <c r="JXX97" s="975" t="s">
        <v>819</v>
      </c>
      <c r="JXY97" s="975" t="s">
        <v>819</v>
      </c>
      <c r="JXZ97" s="975" t="s">
        <v>819</v>
      </c>
      <c r="JYA97" s="975" t="s">
        <v>819</v>
      </c>
      <c r="JYB97" s="975" t="s">
        <v>819</v>
      </c>
      <c r="JYC97" s="975" t="s">
        <v>819</v>
      </c>
      <c r="JYD97" s="975" t="s">
        <v>819</v>
      </c>
      <c r="JYE97" s="975" t="s">
        <v>819</v>
      </c>
      <c r="JYF97" s="975" t="s">
        <v>819</v>
      </c>
      <c r="JYG97" s="975" t="s">
        <v>819</v>
      </c>
      <c r="JYH97" s="975" t="s">
        <v>819</v>
      </c>
      <c r="JYI97" s="975" t="s">
        <v>819</v>
      </c>
      <c r="JYJ97" s="975" t="s">
        <v>819</v>
      </c>
      <c r="JYK97" s="975" t="s">
        <v>819</v>
      </c>
      <c r="JYL97" s="975" t="s">
        <v>819</v>
      </c>
      <c r="JYM97" s="975" t="s">
        <v>819</v>
      </c>
      <c r="JYN97" s="975" t="s">
        <v>819</v>
      </c>
      <c r="JYO97" s="975" t="s">
        <v>819</v>
      </c>
      <c r="JYP97" s="975" t="s">
        <v>819</v>
      </c>
      <c r="JYQ97" s="975" t="s">
        <v>819</v>
      </c>
      <c r="JYR97" s="975" t="s">
        <v>819</v>
      </c>
      <c r="JYS97" s="975" t="s">
        <v>819</v>
      </c>
      <c r="JYT97" s="975" t="s">
        <v>819</v>
      </c>
      <c r="JYU97" s="975" t="s">
        <v>819</v>
      </c>
      <c r="JYV97" s="975" t="s">
        <v>819</v>
      </c>
      <c r="JYW97" s="975" t="s">
        <v>819</v>
      </c>
      <c r="JYX97" s="975" t="s">
        <v>819</v>
      </c>
      <c r="JYY97" s="975" t="s">
        <v>819</v>
      </c>
      <c r="JYZ97" s="975" t="s">
        <v>819</v>
      </c>
      <c r="JZA97" s="975" t="s">
        <v>819</v>
      </c>
      <c r="JZB97" s="975" t="s">
        <v>819</v>
      </c>
      <c r="JZC97" s="975" t="s">
        <v>819</v>
      </c>
      <c r="JZD97" s="975" t="s">
        <v>819</v>
      </c>
      <c r="JZE97" s="975" t="s">
        <v>819</v>
      </c>
      <c r="JZF97" s="975" t="s">
        <v>819</v>
      </c>
      <c r="JZG97" s="975" t="s">
        <v>819</v>
      </c>
      <c r="JZH97" s="975" t="s">
        <v>819</v>
      </c>
      <c r="JZI97" s="975" t="s">
        <v>819</v>
      </c>
      <c r="JZJ97" s="975" t="s">
        <v>819</v>
      </c>
      <c r="JZK97" s="975" t="s">
        <v>819</v>
      </c>
      <c r="JZL97" s="975" t="s">
        <v>819</v>
      </c>
      <c r="JZM97" s="975" t="s">
        <v>819</v>
      </c>
      <c r="JZN97" s="975" t="s">
        <v>819</v>
      </c>
      <c r="JZO97" s="975" t="s">
        <v>819</v>
      </c>
      <c r="JZP97" s="975" t="s">
        <v>819</v>
      </c>
      <c r="JZQ97" s="975" t="s">
        <v>819</v>
      </c>
      <c r="JZR97" s="975" t="s">
        <v>819</v>
      </c>
      <c r="JZS97" s="975" t="s">
        <v>819</v>
      </c>
      <c r="JZT97" s="975" t="s">
        <v>819</v>
      </c>
      <c r="JZU97" s="975" t="s">
        <v>819</v>
      </c>
      <c r="JZV97" s="975" t="s">
        <v>819</v>
      </c>
      <c r="JZW97" s="975" t="s">
        <v>819</v>
      </c>
      <c r="JZX97" s="975" t="s">
        <v>819</v>
      </c>
      <c r="JZY97" s="975" t="s">
        <v>819</v>
      </c>
      <c r="JZZ97" s="975" t="s">
        <v>819</v>
      </c>
      <c r="KAA97" s="975" t="s">
        <v>819</v>
      </c>
      <c r="KAB97" s="975" t="s">
        <v>819</v>
      </c>
      <c r="KAC97" s="975" t="s">
        <v>819</v>
      </c>
      <c r="KAD97" s="975" t="s">
        <v>819</v>
      </c>
      <c r="KAE97" s="975" t="s">
        <v>819</v>
      </c>
      <c r="KAF97" s="975" t="s">
        <v>819</v>
      </c>
      <c r="KAG97" s="975" t="s">
        <v>819</v>
      </c>
      <c r="KAH97" s="975" t="s">
        <v>819</v>
      </c>
      <c r="KAI97" s="975" t="s">
        <v>819</v>
      </c>
      <c r="KAJ97" s="975" t="s">
        <v>819</v>
      </c>
      <c r="KAK97" s="975" t="s">
        <v>819</v>
      </c>
      <c r="KAL97" s="975" t="s">
        <v>819</v>
      </c>
      <c r="KAM97" s="975" t="s">
        <v>819</v>
      </c>
      <c r="KAN97" s="975" t="s">
        <v>819</v>
      </c>
      <c r="KAO97" s="975" t="s">
        <v>819</v>
      </c>
      <c r="KAP97" s="975" t="s">
        <v>819</v>
      </c>
      <c r="KAQ97" s="975" t="s">
        <v>819</v>
      </c>
      <c r="KAR97" s="975" t="s">
        <v>819</v>
      </c>
      <c r="KAS97" s="975" t="s">
        <v>819</v>
      </c>
      <c r="KAT97" s="975" t="s">
        <v>819</v>
      </c>
      <c r="KAU97" s="975" t="s">
        <v>819</v>
      </c>
      <c r="KAV97" s="975" t="s">
        <v>819</v>
      </c>
      <c r="KAW97" s="975" t="s">
        <v>819</v>
      </c>
      <c r="KAX97" s="975" t="s">
        <v>819</v>
      </c>
      <c r="KAY97" s="975" t="s">
        <v>819</v>
      </c>
      <c r="KAZ97" s="975" t="s">
        <v>819</v>
      </c>
      <c r="KBA97" s="975" t="s">
        <v>819</v>
      </c>
      <c r="KBB97" s="975" t="s">
        <v>819</v>
      </c>
      <c r="KBC97" s="975" t="s">
        <v>819</v>
      </c>
      <c r="KBD97" s="975" t="s">
        <v>819</v>
      </c>
      <c r="KBE97" s="975" t="s">
        <v>819</v>
      </c>
      <c r="KBF97" s="975" t="s">
        <v>819</v>
      </c>
      <c r="KBG97" s="975" t="s">
        <v>819</v>
      </c>
      <c r="KBH97" s="975" t="s">
        <v>819</v>
      </c>
      <c r="KBI97" s="975" t="s">
        <v>819</v>
      </c>
      <c r="KBJ97" s="975" t="s">
        <v>819</v>
      </c>
      <c r="KBK97" s="975" t="s">
        <v>819</v>
      </c>
      <c r="KBL97" s="975" t="s">
        <v>819</v>
      </c>
      <c r="KBM97" s="975" t="s">
        <v>819</v>
      </c>
      <c r="KBN97" s="975" t="s">
        <v>819</v>
      </c>
      <c r="KBO97" s="975" t="s">
        <v>819</v>
      </c>
      <c r="KBP97" s="975" t="s">
        <v>819</v>
      </c>
      <c r="KBQ97" s="975" t="s">
        <v>819</v>
      </c>
      <c r="KBR97" s="975" t="s">
        <v>819</v>
      </c>
      <c r="KBS97" s="975" t="s">
        <v>819</v>
      </c>
      <c r="KBT97" s="975" t="s">
        <v>819</v>
      </c>
      <c r="KBU97" s="975" t="s">
        <v>819</v>
      </c>
      <c r="KBV97" s="975" t="s">
        <v>819</v>
      </c>
      <c r="KBW97" s="975" t="s">
        <v>819</v>
      </c>
      <c r="KBX97" s="975" t="s">
        <v>819</v>
      </c>
      <c r="KBY97" s="975" t="s">
        <v>819</v>
      </c>
      <c r="KBZ97" s="975" t="s">
        <v>819</v>
      </c>
      <c r="KCA97" s="975" t="s">
        <v>819</v>
      </c>
      <c r="KCB97" s="975" t="s">
        <v>819</v>
      </c>
      <c r="KCC97" s="975" t="s">
        <v>819</v>
      </c>
      <c r="KCD97" s="975" t="s">
        <v>819</v>
      </c>
      <c r="KCE97" s="975" t="s">
        <v>819</v>
      </c>
      <c r="KCF97" s="975" t="s">
        <v>819</v>
      </c>
      <c r="KCG97" s="975" t="s">
        <v>819</v>
      </c>
      <c r="KCH97" s="975" t="s">
        <v>819</v>
      </c>
      <c r="KCI97" s="975" t="s">
        <v>819</v>
      </c>
      <c r="KCJ97" s="975" t="s">
        <v>819</v>
      </c>
      <c r="KCK97" s="975" t="s">
        <v>819</v>
      </c>
      <c r="KCL97" s="975" t="s">
        <v>819</v>
      </c>
      <c r="KCM97" s="975" t="s">
        <v>819</v>
      </c>
      <c r="KCN97" s="975" t="s">
        <v>819</v>
      </c>
      <c r="KCO97" s="975" t="s">
        <v>819</v>
      </c>
      <c r="KCP97" s="975" t="s">
        <v>819</v>
      </c>
      <c r="KCQ97" s="975" t="s">
        <v>819</v>
      </c>
      <c r="KCR97" s="975" t="s">
        <v>819</v>
      </c>
      <c r="KCS97" s="975" t="s">
        <v>819</v>
      </c>
      <c r="KCT97" s="975" t="s">
        <v>819</v>
      </c>
      <c r="KCU97" s="975" t="s">
        <v>819</v>
      </c>
      <c r="KCV97" s="975" t="s">
        <v>819</v>
      </c>
      <c r="KCW97" s="975" t="s">
        <v>819</v>
      </c>
      <c r="KCX97" s="975" t="s">
        <v>819</v>
      </c>
      <c r="KCY97" s="975" t="s">
        <v>819</v>
      </c>
      <c r="KCZ97" s="975" t="s">
        <v>819</v>
      </c>
      <c r="KDA97" s="975" t="s">
        <v>819</v>
      </c>
      <c r="KDB97" s="975" t="s">
        <v>819</v>
      </c>
      <c r="KDC97" s="975" t="s">
        <v>819</v>
      </c>
      <c r="KDD97" s="975" t="s">
        <v>819</v>
      </c>
      <c r="KDE97" s="975" t="s">
        <v>819</v>
      </c>
      <c r="KDF97" s="975" t="s">
        <v>819</v>
      </c>
      <c r="KDG97" s="975" t="s">
        <v>819</v>
      </c>
      <c r="KDH97" s="975" t="s">
        <v>819</v>
      </c>
      <c r="KDI97" s="975" t="s">
        <v>819</v>
      </c>
      <c r="KDJ97" s="975" t="s">
        <v>819</v>
      </c>
      <c r="KDK97" s="975" t="s">
        <v>819</v>
      </c>
      <c r="KDL97" s="975" t="s">
        <v>819</v>
      </c>
      <c r="KDM97" s="975" t="s">
        <v>819</v>
      </c>
      <c r="KDN97" s="975" t="s">
        <v>819</v>
      </c>
      <c r="KDO97" s="975" t="s">
        <v>819</v>
      </c>
      <c r="KDP97" s="975" t="s">
        <v>819</v>
      </c>
      <c r="KDQ97" s="975" t="s">
        <v>819</v>
      </c>
      <c r="KDR97" s="975" t="s">
        <v>819</v>
      </c>
      <c r="KDS97" s="975" t="s">
        <v>819</v>
      </c>
      <c r="KDT97" s="975" t="s">
        <v>819</v>
      </c>
      <c r="KDU97" s="975" t="s">
        <v>819</v>
      </c>
      <c r="KDV97" s="975" t="s">
        <v>819</v>
      </c>
      <c r="KDW97" s="975" t="s">
        <v>819</v>
      </c>
      <c r="KDX97" s="975" t="s">
        <v>819</v>
      </c>
      <c r="KDY97" s="975" t="s">
        <v>819</v>
      </c>
      <c r="KDZ97" s="975" t="s">
        <v>819</v>
      </c>
      <c r="KEA97" s="975" t="s">
        <v>819</v>
      </c>
      <c r="KEB97" s="975" t="s">
        <v>819</v>
      </c>
      <c r="KEC97" s="975" t="s">
        <v>819</v>
      </c>
      <c r="KED97" s="975" t="s">
        <v>819</v>
      </c>
      <c r="KEE97" s="975" t="s">
        <v>819</v>
      </c>
      <c r="KEF97" s="975" t="s">
        <v>819</v>
      </c>
      <c r="KEG97" s="975" t="s">
        <v>819</v>
      </c>
      <c r="KEH97" s="975" t="s">
        <v>819</v>
      </c>
      <c r="KEI97" s="975" t="s">
        <v>819</v>
      </c>
      <c r="KEJ97" s="975" t="s">
        <v>819</v>
      </c>
      <c r="KEK97" s="975" t="s">
        <v>819</v>
      </c>
      <c r="KEL97" s="975" t="s">
        <v>819</v>
      </c>
      <c r="KEM97" s="975" t="s">
        <v>819</v>
      </c>
      <c r="KEN97" s="975" t="s">
        <v>819</v>
      </c>
      <c r="KEO97" s="975" t="s">
        <v>819</v>
      </c>
      <c r="KEP97" s="975" t="s">
        <v>819</v>
      </c>
      <c r="KEQ97" s="975" t="s">
        <v>819</v>
      </c>
      <c r="KER97" s="975" t="s">
        <v>819</v>
      </c>
      <c r="KES97" s="975" t="s">
        <v>819</v>
      </c>
      <c r="KET97" s="975" t="s">
        <v>819</v>
      </c>
      <c r="KEU97" s="975" t="s">
        <v>819</v>
      </c>
      <c r="KEV97" s="975" t="s">
        <v>819</v>
      </c>
      <c r="KEW97" s="975" t="s">
        <v>819</v>
      </c>
      <c r="KEX97" s="975" t="s">
        <v>819</v>
      </c>
      <c r="KEY97" s="975" t="s">
        <v>819</v>
      </c>
      <c r="KEZ97" s="975" t="s">
        <v>819</v>
      </c>
      <c r="KFA97" s="975" t="s">
        <v>819</v>
      </c>
      <c r="KFB97" s="975" t="s">
        <v>819</v>
      </c>
      <c r="KFC97" s="975" t="s">
        <v>819</v>
      </c>
      <c r="KFD97" s="975" t="s">
        <v>819</v>
      </c>
      <c r="KFE97" s="975" t="s">
        <v>819</v>
      </c>
      <c r="KFF97" s="975" t="s">
        <v>819</v>
      </c>
      <c r="KFG97" s="975" t="s">
        <v>819</v>
      </c>
      <c r="KFH97" s="975" t="s">
        <v>819</v>
      </c>
      <c r="KFI97" s="975" t="s">
        <v>819</v>
      </c>
      <c r="KFJ97" s="975" t="s">
        <v>819</v>
      </c>
      <c r="KFK97" s="975" t="s">
        <v>819</v>
      </c>
      <c r="KFL97" s="975" t="s">
        <v>819</v>
      </c>
      <c r="KFM97" s="975" t="s">
        <v>819</v>
      </c>
      <c r="KFN97" s="975" t="s">
        <v>819</v>
      </c>
      <c r="KFO97" s="975" t="s">
        <v>819</v>
      </c>
      <c r="KFP97" s="975" t="s">
        <v>819</v>
      </c>
      <c r="KFQ97" s="975" t="s">
        <v>819</v>
      </c>
      <c r="KFR97" s="975" t="s">
        <v>819</v>
      </c>
      <c r="KFS97" s="975" t="s">
        <v>819</v>
      </c>
      <c r="KFT97" s="975" t="s">
        <v>819</v>
      </c>
      <c r="KFU97" s="975" t="s">
        <v>819</v>
      </c>
      <c r="KFV97" s="975" t="s">
        <v>819</v>
      </c>
      <c r="KFW97" s="975" t="s">
        <v>819</v>
      </c>
      <c r="KFX97" s="975" t="s">
        <v>819</v>
      </c>
      <c r="KFY97" s="975" t="s">
        <v>819</v>
      </c>
      <c r="KFZ97" s="975" t="s">
        <v>819</v>
      </c>
      <c r="KGA97" s="975" t="s">
        <v>819</v>
      </c>
      <c r="KGB97" s="975" t="s">
        <v>819</v>
      </c>
      <c r="KGC97" s="975" t="s">
        <v>819</v>
      </c>
      <c r="KGD97" s="975" t="s">
        <v>819</v>
      </c>
      <c r="KGE97" s="975" t="s">
        <v>819</v>
      </c>
      <c r="KGF97" s="975" t="s">
        <v>819</v>
      </c>
      <c r="KGG97" s="975" t="s">
        <v>819</v>
      </c>
      <c r="KGH97" s="975" t="s">
        <v>819</v>
      </c>
      <c r="KGI97" s="975" t="s">
        <v>819</v>
      </c>
      <c r="KGJ97" s="975" t="s">
        <v>819</v>
      </c>
      <c r="KGK97" s="975" t="s">
        <v>819</v>
      </c>
      <c r="KGL97" s="975" t="s">
        <v>819</v>
      </c>
      <c r="KGM97" s="975" t="s">
        <v>819</v>
      </c>
      <c r="KGN97" s="975" t="s">
        <v>819</v>
      </c>
      <c r="KGO97" s="975" t="s">
        <v>819</v>
      </c>
      <c r="KGP97" s="975" t="s">
        <v>819</v>
      </c>
      <c r="KGQ97" s="975" t="s">
        <v>819</v>
      </c>
      <c r="KGR97" s="975" t="s">
        <v>819</v>
      </c>
      <c r="KGS97" s="975" t="s">
        <v>819</v>
      </c>
      <c r="KGT97" s="975" t="s">
        <v>819</v>
      </c>
      <c r="KGU97" s="975" t="s">
        <v>819</v>
      </c>
      <c r="KGV97" s="975" t="s">
        <v>819</v>
      </c>
      <c r="KGW97" s="975" t="s">
        <v>819</v>
      </c>
      <c r="KGX97" s="975" t="s">
        <v>819</v>
      </c>
      <c r="KGY97" s="975" t="s">
        <v>819</v>
      </c>
      <c r="KGZ97" s="975" t="s">
        <v>819</v>
      </c>
      <c r="KHA97" s="975" t="s">
        <v>819</v>
      </c>
      <c r="KHB97" s="975" t="s">
        <v>819</v>
      </c>
      <c r="KHC97" s="975" t="s">
        <v>819</v>
      </c>
      <c r="KHD97" s="975" t="s">
        <v>819</v>
      </c>
      <c r="KHE97" s="975" t="s">
        <v>819</v>
      </c>
      <c r="KHF97" s="975" t="s">
        <v>819</v>
      </c>
      <c r="KHG97" s="975" t="s">
        <v>819</v>
      </c>
      <c r="KHH97" s="975" t="s">
        <v>819</v>
      </c>
      <c r="KHI97" s="975" t="s">
        <v>819</v>
      </c>
      <c r="KHJ97" s="975" t="s">
        <v>819</v>
      </c>
      <c r="KHK97" s="975" t="s">
        <v>819</v>
      </c>
      <c r="KHL97" s="975" t="s">
        <v>819</v>
      </c>
      <c r="KHM97" s="975" t="s">
        <v>819</v>
      </c>
      <c r="KHN97" s="975" t="s">
        <v>819</v>
      </c>
      <c r="KHO97" s="975" t="s">
        <v>819</v>
      </c>
      <c r="KHP97" s="975" t="s">
        <v>819</v>
      </c>
      <c r="KHQ97" s="975" t="s">
        <v>819</v>
      </c>
      <c r="KHR97" s="975" t="s">
        <v>819</v>
      </c>
      <c r="KHS97" s="975" t="s">
        <v>819</v>
      </c>
      <c r="KHT97" s="975" t="s">
        <v>819</v>
      </c>
      <c r="KHU97" s="975" t="s">
        <v>819</v>
      </c>
      <c r="KHV97" s="975" t="s">
        <v>819</v>
      </c>
      <c r="KHW97" s="975" t="s">
        <v>819</v>
      </c>
      <c r="KHX97" s="975" t="s">
        <v>819</v>
      </c>
      <c r="KHY97" s="975" t="s">
        <v>819</v>
      </c>
      <c r="KHZ97" s="975" t="s">
        <v>819</v>
      </c>
      <c r="KIA97" s="975" t="s">
        <v>819</v>
      </c>
      <c r="KIB97" s="975" t="s">
        <v>819</v>
      </c>
      <c r="KIC97" s="975" t="s">
        <v>819</v>
      </c>
      <c r="KID97" s="975" t="s">
        <v>819</v>
      </c>
      <c r="KIE97" s="975" t="s">
        <v>819</v>
      </c>
      <c r="KIF97" s="975" t="s">
        <v>819</v>
      </c>
      <c r="KIG97" s="975" t="s">
        <v>819</v>
      </c>
      <c r="KIH97" s="975" t="s">
        <v>819</v>
      </c>
      <c r="KII97" s="975" t="s">
        <v>819</v>
      </c>
      <c r="KIJ97" s="975" t="s">
        <v>819</v>
      </c>
      <c r="KIK97" s="975" t="s">
        <v>819</v>
      </c>
      <c r="KIL97" s="975" t="s">
        <v>819</v>
      </c>
      <c r="KIM97" s="975" t="s">
        <v>819</v>
      </c>
      <c r="KIN97" s="975" t="s">
        <v>819</v>
      </c>
      <c r="KIO97" s="975" t="s">
        <v>819</v>
      </c>
      <c r="KIP97" s="975" t="s">
        <v>819</v>
      </c>
      <c r="KIQ97" s="975" t="s">
        <v>819</v>
      </c>
      <c r="KIR97" s="975" t="s">
        <v>819</v>
      </c>
      <c r="KIS97" s="975" t="s">
        <v>819</v>
      </c>
      <c r="KIT97" s="975" t="s">
        <v>819</v>
      </c>
      <c r="KIU97" s="975" t="s">
        <v>819</v>
      </c>
      <c r="KIV97" s="975" t="s">
        <v>819</v>
      </c>
      <c r="KIW97" s="975" t="s">
        <v>819</v>
      </c>
      <c r="KIX97" s="975" t="s">
        <v>819</v>
      </c>
      <c r="KIY97" s="975" t="s">
        <v>819</v>
      </c>
      <c r="KIZ97" s="975" t="s">
        <v>819</v>
      </c>
      <c r="KJA97" s="975" t="s">
        <v>819</v>
      </c>
      <c r="KJB97" s="975" t="s">
        <v>819</v>
      </c>
      <c r="KJC97" s="975" t="s">
        <v>819</v>
      </c>
      <c r="KJD97" s="975" t="s">
        <v>819</v>
      </c>
      <c r="KJE97" s="975" t="s">
        <v>819</v>
      </c>
      <c r="KJF97" s="975" t="s">
        <v>819</v>
      </c>
      <c r="KJG97" s="975" t="s">
        <v>819</v>
      </c>
      <c r="KJH97" s="975" t="s">
        <v>819</v>
      </c>
      <c r="KJI97" s="975" t="s">
        <v>819</v>
      </c>
      <c r="KJJ97" s="975" t="s">
        <v>819</v>
      </c>
      <c r="KJK97" s="975" t="s">
        <v>819</v>
      </c>
      <c r="KJL97" s="975" t="s">
        <v>819</v>
      </c>
      <c r="KJM97" s="975" t="s">
        <v>819</v>
      </c>
      <c r="KJN97" s="975" t="s">
        <v>819</v>
      </c>
      <c r="KJO97" s="975" t="s">
        <v>819</v>
      </c>
      <c r="KJP97" s="975" t="s">
        <v>819</v>
      </c>
      <c r="KJQ97" s="975" t="s">
        <v>819</v>
      </c>
      <c r="KJR97" s="975" t="s">
        <v>819</v>
      </c>
      <c r="KJS97" s="975" t="s">
        <v>819</v>
      </c>
      <c r="KJT97" s="975" t="s">
        <v>819</v>
      </c>
      <c r="KJU97" s="975" t="s">
        <v>819</v>
      </c>
      <c r="KJV97" s="975" t="s">
        <v>819</v>
      </c>
      <c r="KJW97" s="975" t="s">
        <v>819</v>
      </c>
      <c r="KJX97" s="975" t="s">
        <v>819</v>
      </c>
      <c r="KJY97" s="975" t="s">
        <v>819</v>
      </c>
      <c r="KJZ97" s="975" t="s">
        <v>819</v>
      </c>
      <c r="KKA97" s="975" t="s">
        <v>819</v>
      </c>
      <c r="KKB97" s="975" t="s">
        <v>819</v>
      </c>
      <c r="KKC97" s="975" t="s">
        <v>819</v>
      </c>
      <c r="KKD97" s="975" t="s">
        <v>819</v>
      </c>
      <c r="KKE97" s="975" t="s">
        <v>819</v>
      </c>
      <c r="KKF97" s="975" t="s">
        <v>819</v>
      </c>
      <c r="KKG97" s="975" t="s">
        <v>819</v>
      </c>
      <c r="KKH97" s="975" t="s">
        <v>819</v>
      </c>
      <c r="KKI97" s="975" t="s">
        <v>819</v>
      </c>
      <c r="KKJ97" s="975" t="s">
        <v>819</v>
      </c>
      <c r="KKK97" s="975" t="s">
        <v>819</v>
      </c>
      <c r="KKL97" s="975" t="s">
        <v>819</v>
      </c>
      <c r="KKM97" s="975" t="s">
        <v>819</v>
      </c>
      <c r="KKN97" s="975" t="s">
        <v>819</v>
      </c>
      <c r="KKO97" s="975" t="s">
        <v>819</v>
      </c>
      <c r="KKP97" s="975" t="s">
        <v>819</v>
      </c>
      <c r="KKQ97" s="975" t="s">
        <v>819</v>
      </c>
      <c r="KKR97" s="975" t="s">
        <v>819</v>
      </c>
      <c r="KKS97" s="975" t="s">
        <v>819</v>
      </c>
      <c r="KKT97" s="975" t="s">
        <v>819</v>
      </c>
      <c r="KKU97" s="975" t="s">
        <v>819</v>
      </c>
      <c r="KKV97" s="975" t="s">
        <v>819</v>
      </c>
      <c r="KKW97" s="975" t="s">
        <v>819</v>
      </c>
      <c r="KKX97" s="975" t="s">
        <v>819</v>
      </c>
      <c r="KKY97" s="975" t="s">
        <v>819</v>
      </c>
      <c r="KKZ97" s="975" t="s">
        <v>819</v>
      </c>
      <c r="KLA97" s="975" t="s">
        <v>819</v>
      </c>
      <c r="KLB97" s="975" t="s">
        <v>819</v>
      </c>
      <c r="KLC97" s="975" t="s">
        <v>819</v>
      </c>
      <c r="KLD97" s="975" t="s">
        <v>819</v>
      </c>
      <c r="KLE97" s="975" t="s">
        <v>819</v>
      </c>
      <c r="KLF97" s="975" t="s">
        <v>819</v>
      </c>
      <c r="KLG97" s="975" t="s">
        <v>819</v>
      </c>
      <c r="KLH97" s="975" t="s">
        <v>819</v>
      </c>
      <c r="KLI97" s="975" t="s">
        <v>819</v>
      </c>
      <c r="KLJ97" s="975" t="s">
        <v>819</v>
      </c>
      <c r="KLK97" s="975" t="s">
        <v>819</v>
      </c>
      <c r="KLL97" s="975" t="s">
        <v>819</v>
      </c>
      <c r="KLM97" s="975" t="s">
        <v>819</v>
      </c>
      <c r="KLN97" s="975" t="s">
        <v>819</v>
      </c>
      <c r="KLO97" s="975" t="s">
        <v>819</v>
      </c>
      <c r="KLP97" s="975" t="s">
        <v>819</v>
      </c>
      <c r="KLQ97" s="975" t="s">
        <v>819</v>
      </c>
      <c r="KLR97" s="975" t="s">
        <v>819</v>
      </c>
      <c r="KLS97" s="975" t="s">
        <v>819</v>
      </c>
      <c r="KLT97" s="975" t="s">
        <v>819</v>
      </c>
      <c r="KLU97" s="975" t="s">
        <v>819</v>
      </c>
      <c r="KLV97" s="975" t="s">
        <v>819</v>
      </c>
      <c r="KLW97" s="975" t="s">
        <v>819</v>
      </c>
      <c r="KLX97" s="975" t="s">
        <v>819</v>
      </c>
      <c r="KLY97" s="975" t="s">
        <v>819</v>
      </c>
      <c r="KLZ97" s="975" t="s">
        <v>819</v>
      </c>
      <c r="KMA97" s="975" t="s">
        <v>819</v>
      </c>
      <c r="KMB97" s="975" t="s">
        <v>819</v>
      </c>
      <c r="KMC97" s="975" t="s">
        <v>819</v>
      </c>
      <c r="KMD97" s="975" t="s">
        <v>819</v>
      </c>
      <c r="KME97" s="975" t="s">
        <v>819</v>
      </c>
      <c r="KMF97" s="975" t="s">
        <v>819</v>
      </c>
      <c r="KMG97" s="975" t="s">
        <v>819</v>
      </c>
      <c r="KMH97" s="975" t="s">
        <v>819</v>
      </c>
      <c r="KMI97" s="975" t="s">
        <v>819</v>
      </c>
      <c r="KMJ97" s="975" t="s">
        <v>819</v>
      </c>
      <c r="KMK97" s="975" t="s">
        <v>819</v>
      </c>
      <c r="KML97" s="975" t="s">
        <v>819</v>
      </c>
      <c r="KMM97" s="975" t="s">
        <v>819</v>
      </c>
      <c r="KMN97" s="975" t="s">
        <v>819</v>
      </c>
      <c r="KMO97" s="975" t="s">
        <v>819</v>
      </c>
      <c r="KMP97" s="975" t="s">
        <v>819</v>
      </c>
      <c r="KMQ97" s="975" t="s">
        <v>819</v>
      </c>
      <c r="KMR97" s="975" t="s">
        <v>819</v>
      </c>
      <c r="KMS97" s="975" t="s">
        <v>819</v>
      </c>
      <c r="KMT97" s="975" t="s">
        <v>819</v>
      </c>
      <c r="KMU97" s="975" t="s">
        <v>819</v>
      </c>
      <c r="KMV97" s="975" t="s">
        <v>819</v>
      </c>
      <c r="KMW97" s="975" t="s">
        <v>819</v>
      </c>
      <c r="KMX97" s="975" t="s">
        <v>819</v>
      </c>
      <c r="KMY97" s="975" t="s">
        <v>819</v>
      </c>
      <c r="KMZ97" s="975" t="s">
        <v>819</v>
      </c>
      <c r="KNA97" s="975" t="s">
        <v>819</v>
      </c>
      <c r="KNB97" s="975" t="s">
        <v>819</v>
      </c>
      <c r="KNC97" s="975" t="s">
        <v>819</v>
      </c>
      <c r="KND97" s="975" t="s">
        <v>819</v>
      </c>
      <c r="KNE97" s="975" t="s">
        <v>819</v>
      </c>
      <c r="KNF97" s="975" t="s">
        <v>819</v>
      </c>
      <c r="KNG97" s="975" t="s">
        <v>819</v>
      </c>
      <c r="KNH97" s="975" t="s">
        <v>819</v>
      </c>
      <c r="KNI97" s="975" t="s">
        <v>819</v>
      </c>
      <c r="KNJ97" s="975" t="s">
        <v>819</v>
      </c>
      <c r="KNK97" s="975" t="s">
        <v>819</v>
      </c>
      <c r="KNL97" s="975" t="s">
        <v>819</v>
      </c>
      <c r="KNM97" s="975" t="s">
        <v>819</v>
      </c>
      <c r="KNN97" s="975" t="s">
        <v>819</v>
      </c>
      <c r="KNO97" s="975" t="s">
        <v>819</v>
      </c>
      <c r="KNP97" s="975" t="s">
        <v>819</v>
      </c>
      <c r="KNQ97" s="975" t="s">
        <v>819</v>
      </c>
      <c r="KNR97" s="975" t="s">
        <v>819</v>
      </c>
      <c r="KNS97" s="975" t="s">
        <v>819</v>
      </c>
      <c r="KNT97" s="975" t="s">
        <v>819</v>
      </c>
      <c r="KNU97" s="975" t="s">
        <v>819</v>
      </c>
      <c r="KNV97" s="975" t="s">
        <v>819</v>
      </c>
      <c r="KNW97" s="975" t="s">
        <v>819</v>
      </c>
      <c r="KNX97" s="975" t="s">
        <v>819</v>
      </c>
      <c r="KNY97" s="975" t="s">
        <v>819</v>
      </c>
      <c r="KNZ97" s="975" t="s">
        <v>819</v>
      </c>
      <c r="KOA97" s="975" t="s">
        <v>819</v>
      </c>
      <c r="KOB97" s="975" t="s">
        <v>819</v>
      </c>
      <c r="KOC97" s="975" t="s">
        <v>819</v>
      </c>
      <c r="KOD97" s="975" t="s">
        <v>819</v>
      </c>
      <c r="KOE97" s="975" t="s">
        <v>819</v>
      </c>
      <c r="KOF97" s="975" t="s">
        <v>819</v>
      </c>
      <c r="KOG97" s="975" t="s">
        <v>819</v>
      </c>
      <c r="KOH97" s="975" t="s">
        <v>819</v>
      </c>
      <c r="KOI97" s="975" t="s">
        <v>819</v>
      </c>
      <c r="KOJ97" s="975" t="s">
        <v>819</v>
      </c>
      <c r="KOK97" s="975" t="s">
        <v>819</v>
      </c>
      <c r="KOL97" s="975" t="s">
        <v>819</v>
      </c>
      <c r="KOM97" s="975" t="s">
        <v>819</v>
      </c>
      <c r="KON97" s="975" t="s">
        <v>819</v>
      </c>
      <c r="KOO97" s="975" t="s">
        <v>819</v>
      </c>
      <c r="KOP97" s="975" t="s">
        <v>819</v>
      </c>
      <c r="KOQ97" s="975" t="s">
        <v>819</v>
      </c>
      <c r="KOR97" s="975" t="s">
        <v>819</v>
      </c>
      <c r="KOS97" s="975" t="s">
        <v>819</v>
      </c>
      <c r="KOT97" s="975" t="s">
        <v>819</v>
      </c>
      <c r="KOU97" s="975" t="s">
        <v>819</v>
      </c>
      <c r="KOV97" s="975" t="s">
        <v>819</v>
      </c>
      <c r="KOW97" s="975" t="s">
        <v>819</v>
      </c>
      <c r="KOX97" s="975" t="s">
        <v>819</v>
      </c>
      <c r="KOY97" s="975" t="s">
        <v>819</v>
      </c>
      <c r="KOZ97" s="975" t="s">
        <v>819</v>
      </c>
      <c r="KPA97" s="975" t="s">
        <v>819</v>
      </c>
      <c r="KPB97" s="975" t="s">
        <v>819</v>
      </c>
      <c r="KPC97" s="975" t="s">
        <v>819</v>
      </c>
      <c r="KPD97" s="975" t="s">
        <v>819</v>
      </c>
      <c r="KPE97" s="975" t="s">
        <v>819</v>
      </c>
      <c r="KPF97" s="975" t="s">
        <v>819</v>
      </c>
      <c r="KPG97" s="975" t="s">
        <v>819</v>
      </c>
      <c r="KPH97" s="975" t="s">
        <v>819</v>
      </c>
      <c r="KPI97" s="975" t="s">
        <v>819</v>
      </c>
      <c r="KPJ97" s="975" t="s">
        <v>819</v>
      </c>
      <c r="KPK97" s="975" t="s">
        <v>819</v>
      </c>
      <c r="KPL97" s="975" t="s">
        <v>819</v>
      </c>
      <c r="KPM97" s="975" t="s">
        <v>819</v>
      </c>
      <c r="KPN97" s="975" t="s">
        <v>819</v>
      </c>
      <c r="KPO97" s="975" t="s">
        <v>819</v>
      </c>
      <c r="KPP97" s="975" t="s">
        <v>819</v>
      </c>
      <c r="KPQ97" s="975" t="s">
        <v>819</v>
      </c>
      <c r="KPR97" s="975" t="s">
        <v>819</v>
      </c>
      <c r="KPS97" s="975" t="s">
        <v>819</v>
      </c>
      <c r="KPT97" s="975" t="s">
        <v>819</v>
      </c>
      <c r="KPU97" s="975" t="s">
        <v>819</v>
      </c>
      <c r="KPV97" s="975" t="s">
        <v>819</v>
      </c>
      <c r="KPW97" s="975" t="s">
        <v>819</v>
      </c>
      <c r="KPX97" s="975" t="s">
        <v>819</v>
      </c>
      <c r="KPY97" s="975" t="s">
        <v>819</v>
      </c>
      <c r="KPZ97" s="975" t="s">
        <v>819</v>
      </c>
      <c r="KQA97" s="975" t="s">
        <v>819</v>
      </c>
      <c r="KQB97" s="975" t="s">
        <v>819</v>
      </c>
      <c r="KQC97" s="975" t="s">
        <v>819</v>
      </c>
      <c r="KQD97" s="975" t="s">
        <v>819</v>
      </c>
      <c r="KQE97" s="975" t="s">
        <v>819</v>
      </c>
      <c r="KQF97" s="975" t="s">
        <v>819</v>
      </c>
      <c r="KQG97" s="975" t="s">
        <v>819</v>
      </c>
      <c r="KQH97" s="975" t="s">
        <v>819</v>
      </c>
      <c r="KQI97" s="975" t="s">
        <v>819</v>
      </c>
      <c r="KQJ97" s="975" t="s">
        <v>819</v>
      </c>
      <c r="KQK97" s="975" t="s">
        <v>819</v>
      </c>
      <c r="KQL97" s="975" t="s">
        <v>819</v>
      </c>
      <c r="KQM97" s="975" t="s">
        <v>819</v>
      </c>
      <c r="KQN97" s="975" t="s">
        <v>819</v>
      </c>
      <c r="KQO97" s="975" t="s">
        <v>819</v>
      </c>
      <c r="KQP97" s="975" t="s">
        <v>819</v>
      </c>
      <c r="KQQ97" s="975" t="s">
        <v>819</v>
      </c>
      <c r="KQR97" s="975" t="s">
        <v>819</v>
      </c>
      <c r="KQS97" s="975" t="s">
        <v>819</v>
      </c>
      <c r="KQT97" s="975" t="s">
        <v>819</v>
      </c>
      <c r="KQU97" s="975" t="s">
        <v>819</v>
      </c>
      <c r="KQV97" s="975" t="s">
        <v>819</v>
      </c>
      <c r="KQW97" s="975" t="s">
        <v>819</v>
      </c>
      <c r="KQX97" s="975" t="s">
        <v>819</v>
      </c>
      <c r="KQY97" s="975" t="s">
        <v>819</v>
      </c>
      <c r="KQZ97" s="975" t="s">
        <v>819</v>
      </c>
      <c r="KRA97" s="975" t="s">
        <v>819</v>
      </c>
      <c r="KRB97" s="975" t="s">
        <v>819</v>
      </c>
      <c r="KRC97" s="975" t="s">
        <v>819</v>
      </c>
      <c r="KRD97" s="975" t="s">
        <v>819</v>
      </c>
      <c r="KRE97" s="975" t="s">
        <v>819</v>
      </c>
      <c r="KRF97" s="975" t="s">
        <v>819</v>
      </c>
      <c r="KRG97" s="975" t="s">
        <v>819</v>
      </c>
      <c r="KRH97" s="975" t="s">
        <v>819</v>
      </c>
      <c r="KRI97" s="975" t="s">
        <v>819</v>
      </c>
      <c r="KRJ97" s="975" t="s">
        <v>819</v>
      </c>
      <c r="KRK97" s="975" t="s">
        <v>819</v>
      </c>
      <c r="KRL97" s="975" t="s">
        <v>819</v>
      </c>
      <c r="KRM97" s="975" t="s">
        <v>819</v>
      </c>
      <c r="KRN97" s="975" t="s">
        <v>819</v>
      </c>
      <c r="KRO97" s="975" t="s">
        <v>819</v>
      </c>
      <c r="KRP97" s="975" t="s">
        <v>819</v>
      </c>
      <c r="KRQ97" s="975" t="s">
        <v>819</v>
      </c>
      <c r="KRR97" s="975" t="s">
        <v>819</v>
      </c>
      <c r="KRS97" s="975" t="s">
        <v>819</v>
      </c>
      <c r="KRT97" s="975" t="s">
        <v>819</v>
      </c>
      <c r="KRU97" s="975" t="s">
        <v>819</v>
      </c>
      <c r="KRV97" s="975" t="s">
        <v>819</v>
      </c>
      <c r="KRW97" s="975" t="s">
        <v>819</v>
      </c>
      <c r="KRX97" s="975" t="s">
        <v>819</v>
      </c>
      <c r="KRY97" s="975" t="s">
        <v>819</v>
      </c>
      <c r="KRZ97" s="975" t="s">
        <v>819</v>
      </c>
      <c r="KSA97" s="975" t="s">
        <v>819</v>
      </c>
      <c r="KSB97" s="975" t="s">
        <v>819</v>
      </c>
      <c r="KSC97" s="975" t="s">
        <v>819</v>
      </c>
      <c r="KSD97" s="975" t="s">
        <v>819</v>
      </c>
      <c r="KSE97" s="975" t="s">
        <v>819</v>
      </c>
      <c r="KSF97" s="975" t="s">
        <v>819</v>
      </c>
      <c r="KSG97" s="975" t="s">
        <v>819</v>
      </c>
      <c r="KSH97" s="975" t="s">
        <v>819</v>
      </c>
      <c r="KSI97" s="975" t="s">
        <v>819</v>
      </c>
      <c r="KSJ97" s="975" t="s">
        <v>819</v>
      </c>
      <c r="KSK97" s="975" t="s">
        <v>819</v>
      </c>
      <c r="KSL97" s="975" t="s">
        <v>819</v>
      </c>
      <c r="KSM97" s="975" t="s">
        <v>819</v>
      </c>
      <c r="KSN97" s="975" t="s">
        <v>819</v>
      </c>
      <c r="KSO97" s="975" t="s">
        <v>819</v>
      </c>
      <c r="KSP97" s="975" t="s">
        <v>819</v>
      </c>
      <c r="KSQ97" s="975" t="s">
        <v>819</v>
      </c>
      <c r="KSR97" s="975" t="s">
        <v>819</v>
      </c>
      <c r="KSS97" s="975" t="s">
        <v>819</v>
      </c>
      <c r="KST97" s="975" t="s">
        <v>819</v>
      </c>
      <c r="KSU97" s="975" t="s">
        <v>819</v>
      </c>
      <c r="KSV97" s="975" t="s">
        <v>819</v>
      </c>
      <c r="KSW97" s="975" t="s">
        <v>819</v>
      </c>
      <c r="KSX97" s="975" t="s">
        <v>819</v>
      </c>
      <c r="KSY97" s="975" t="s">
        <v>819</v>
      </c>
      <c r="KSZ97" s="975" t="s">
        <v>819</v>
      </c>
      <c r="KTA97" s="975" t="s">
        <v>819</v>
      </c>
      <c r="KTB97" s="975" t="s">
        <v>819</v>
      </c>
      <c r="KTC97" s="975" t="s">
        <v>819</v>
      </c>
      <c r="KTD97" s="975" t="s">
        <v>819</v>
      </c>
      <c r="KTE97" s="975" t="s">
        <v>819</v>
      </c>
      <c r="KTF97" s="975" t="s">
        <v>819</v>
      </c>
      <c r="KTG97" s="975" t="s">
        <v>819</v>
      </c>
      <c r="KTH97" s="975" t="s">
        <v>819</v>
      </c>
      <c r="KTI97" s="975" t="s">
        <v>819</v>
      </c>
      <c r="KTJ97" s="975" t="s">
        <v>819</v>
      </c>
      <c r="KTK97" s="975" t="s">
        <v>819</v>
      </c>
      <c r="KTL97" s="975" t="s">
        <v>819</v>
      </c>
      <c r="KTM97" s="975" t="s">
        <v>819</v>
      </c>
      <c r="KTN97" s="975" t="s">
        <v>819</v>
      </c>
      <c r="KTO97" s="975" t="s">
        <v>819</v>
      </c>
      <c r="KTP97" s="975" t="s">
        <v>819</v>
      </c>
      <c r="KTQ97" s="975" t="s">
        <v>819</v>
      </c>
      <c r="KTR97" s="975" t="s">
        <v>819</v>
      </c>
      <c r="KTS97" s="975" t="s">
        <v>819</v>
      </c>
      <c r="KTT97" s="975" t="s">
        <v>819</v>
      </c>
      <c r="KTU97" s="975" t="s">
        <v>819</v>
      </c>
      <c r="KTV97" s="975" t="s">
        <v>819</v>
      </c>
      <c r="KTW97" s="975" t="s">
        <v>819</v>
      </c>
      <c r="KTX97" s="975" t="s">
        <v>819</v>
      </c>
      <c r="KTY97" s="975" t="s">
        <v>819</v>
      </c>
      <c r="KTZ97" s="975" t="s">
        <v>819</v>
      </c>
      <c r="KUA97" s="975" t="s">
        <v>819</v>
      </c>
      <c r="KUB97" s="975" t="s">
        <v>819</v>
      </c>
      <c r="KUC97" s="975" t="s">
        <v>819</v>
      </c>
      <c r="KUD97" s="975" t="s">
        <v>819</v>
      </c>
      <c r="KUE97" s="975" t="s">
        <v>819</v>
      </c>
      <c r="KUF97" s="975" t="s">
        <v>819</v>
      </c>
      <c r="KUG97" s="975" t="s">
        <v>819</v>
      </c>
      <c r="KUH97" s="975" t="s">
        <v>819</v>
      </c>
      <c r="KUI97" s="975" t="s">
        <v>819</v>
      </c>
      <c r="KUJ97" s="975" t="s">
        <v>819</v>
      </c>
      <c r="KUK97" s="975" t="s">
        <v>819</v>
      </c>
      <c r="KUL97" s="975" t="s">
        <v>819</v>
      </c>
      <c r="KUM97" s="975" t="s">
        <v>819</v>
      </c>
      <c r="KUN97" s="975" t="s">
        <v>819</v>
      </c>
      <c r="KUO97" s="975" t="s">
        <v>819</v>
      </c>
      <c r="KUP97" s="975" t="s">
        <v>819</v>
      </c>
      <c r="KUQ97" s="975" t="s">
        <v>819</v>
      </c>
      <c r="KUR97" s="975" t="s">
        <v>819</v>
      </c>
      <c r="KUS97" s="975" t="s">
        <v>819</v>
      </c>
      <c r="KUT97" s="975" t="s">
        <v>819</v>
      </c>
      <c r="KUU97" s="975" t="s">
        <v>819</v>
      </c>
      <c r="KUV97" s="975" t="s">
        <v>819</v>
      </c>
      <c r="KUW97" s="975" t="s">
        <v>819</v>
      </c>
      <c r="KUX97" s="975" t="s">
        <v>819</v>
      </c>
      <c r="KUY97" s="975" t="s">
        <v>819</v>
      </c>
      <c r="KUZ97" s="975" t="s">
        <v>819</v>
      </c>
      <c r="KVA97" s="975" t="s">
        <v>819</v>
      </c>
      <c r="KVB97" s="975" t="s">
        <v>819</v>
      </c>
      <c r="KVC97" s="975" t="s">
        <v>819</v>
      </c>
      <c r="KVD97" s="975" t="s">
        <v>819</v>
      </c>
      <c r="KVE97" s="975" t="s">
        <v>819</v>
      </c>
      <c r="KVF97" s="975" t="s">
        <v>819</v>
      </c>
      <c r="KVG97" s="975" t="s">
        <v>819</v>
      </c>
      <c r="KVH97" s="975" t="s">
        <v>819</v>
      </c>
      <c r="KVI97" s="975" t="s">
        <v>819</v>
      </c>
      <c r="KVJ97" s="975" t="s">
        <v>819</v>
      </c>
      <c r="KVK97" s="975" t="s">
        <v>819</v>
      </c>
      <c r="KVL97" s="975" t="s">
        <v>819</v>
      </c>
      <c r="KVM97" s="975" t="s">
        <v>819</v>
      </c>
      <c r="KVN97" s="975" t="s">
        <v>819</v>
      </c>
      <c r="KVO97" s="975" t="s">
        <v>819</v>
      </c>
      <c r="KVP97" s="975" t="s">
        <v>819</v>
      </c>
      <c r="KVQ97" s="975" t="s">
        <v>819</v>
      </c>
      <c r="KVR97" s="975" t="s">
        <v>819</v>
      </c>
      <c r="KVS97" s="975" t="s">
        <v>819</v>
      </c>
      <c r="KVT97" s="975" t="s">
        <v>819</v>
      </c>
      <c r="KVU97" s="975" t="s">
        <v>819</v>
      </c>
      <c r="KVV97" s="975" t="s">
        <v>819</v>
      </c>
      <c r="KVW97" s="975" t="s">
        <v>819</v>
      </c>
      <c r="KVX97" s="975" t="s">
        <v>819</v>
      </c>
      <c r="KVY97" s="975" t="s">
        <v>819</v>
      </c>
      <c r="KVZ97" s="975" t="s">
        <v>819</v>
      </c>
      <c r="KWA97" s="975" t="s">
        <v>819</v>
      </c>
      <c r="KWB97" s="975" t="s">
        <v>819</v>
      </c>
      <c r="KWC97" s="975" t="s">
        <v>819</v>
      </c>
      <c r="KWD97" s="975" t="s">
        <v>819</v>
      </c>
      <c r="KWE97" s="975" t="s">
        <v>819</v>
      </c>
      <c r="KWF97" s="975" t="s">
        <v>819</v>
      </c>
      <c r="KWG97" s="975" t="s">
        <v>819</v>
      </c>
      <c r="KWH97" s="975" t="s">
        <v>819</v>
      </c>
      <c r="KWI97" s="975" t="s">
        <v>819</v>
      </c>
      <c r="KWJ97" s="975" t="s">
        <v>819</v>
      </c>
      <c r="KWK97" s="975" t="s">
        <v>819</v>
      </c>
      <c r="KWL97" s="975" t="s">
        <v>819</v>
      </c>
      <c r="KWM97" s="975" t="s">
        <v>819</v>
      </c>
      <c r="KWN97" s="975" t="s">
        <v>819</v>
      </c>
      <c r="KWO97" s="975" t="s">
        <v>819</v>
      </c>
      <c r="KWP97" s="975" t="s">
        <v>819</v>
      </c>
      <c r="KWQ97" s="975" t="s">
        <v>819</v>
      </c>
      <c r="KWR97" s="975" t="s">
        <v>819</v>
      </c>
      <c r="KWS97" s="975" t="s">
        <v>819</v>
      </c>
      <c r="KWT97" s="975" t="s">
        <v>819</v>
      </c>
      <c r="KWU97" s="975" t="s">
        <v>819</v>
      </c>
      <c r="KWV97" s="975" t="s">
        <v>819</v>
      </c>
      <c r="KWW97" s="975" t="s">
        <v>819</v>
      </c>
      <c r="KWX97" s="975" t="s">
        <v>819</v>
      </c>
      <c r="KWY97" s="975" t="s">
        <v>819</v>
      </c>
      <c r="KWZ97" s="975" t="s">
        <v>819</v>
      </c>
      <c r="KXA97" s="975" t="s">
        <v>819</v>
      </c>
      <c r="KXB97" s="975" t="s">
        <v>819</v>
      </c>
      <c r="KXC97" s="975" t="s">
        <v>819</v>
      </c>
      <c r="KXD97" s="975" t="s">
        <v>819</v>
      </c>
      <c r="KXE97" s="975" t="s">
        <v>819</v>
      </c>
      <c r="KXF97" s="975" t="s">
        <v>819</v>
      </c>
      <c r="KXG97" s="975" t="s">
        <v>819</v>
      </c>
      <c r="KXH97" s="975" t="s">
        <v>819</v>
      </c>
      <c r="KXI97" s="975" t="s">
        <v>819</v>
      </c>
      <c r="KXJ97" s="975" t="s">
        <v>819</v>
      </c>
      <c r="KXK97" s="975" t="s">
        <v>819</v>
      </c>
      <c r="KXL97" s="975" t="s">
        <v>819</v>
      </c>
      <c r="KXM97" s="975" t="s">
        <v>819</v>
      </c>
      <c r="KXN97" s="975" t="s">
        <v>819</v>
      </c>
      <c r="KXO97" s="975" t="s">
        <v>819</v>
      </c>
      <c r="KXP97" s="975" t="s">
        <v>819</v>
      </c>
      <c r="KXQ97" s="975" t="s">
        <v>819</v>
      </c>
      <c r="KXR97" s="975" t="s">
        <v>819</v>
      </c>
      <c r="KXS97" s="975" t="s">
        <v>819</v>
      </c>
      <c r="KXT97" s="975" t="s">
        <v>819</v>
      </c>
      <c r="KXU97" s="975" t="s">
        <v>819</v>
      </c>
      <c r="KXV97" s="975" t="s">
        <v>819</v>
      </c>
      <c r="KXW97" s="975" t="s">
        <v>819</v>
      </c>
      <c r="KXX97" s="975" t="s">
        <v>819</v>
      </c>
      <c r="KXY97" s="975" t="s">
        <v>819</v>
      </c>
      <c r="KXZ97" s="975" t="s">
        <v>819</v>
      </c>
      <c r="KYA97" s="975" t="s">
        <v>819</v>
      </c>
      <c r="KYB97" s="975" t="s">
        <v>819</v>
      </c>
      <c r="KYC97" s="975" t="s">
        <v>819</v>
      </c>
      <c r="KYD97" s="975" t="s">
        <v>819</v>
      </c>
      <c r="KYE97" s="975" t="s">
        <v>819</v>
      </c>
      <c r="KYF97" s="975" t="s">
        <v>819</v>
      </c>
      <c r="KYG97" s="975" t="s">
        <v>819</v>
      </c>
      <c r="KYH97" s="975" t="s">
        <v>819</v>
      </c>
      <c r="KYI97" s="975" t="s">
        <v>819</v>
      </c>
      <c r="KYJ97" s="975" t="s">
        <v>819</v>
      </c>
      <c r="KYK97" s="975" t="s">
        <v>819</v>
      </c>
      <c r="KYL97" s="975" t="s">
        <v>819</v>
      </c>
      <c r="KYM97" s="975" t="s">
        <v>819</v>
      </c>
      <c r="KYN97" s="975" t="s">
        <v>819</v>
      </c>
      <c r="KYO97" s="975" t="s">
        <v>819</v>
      </c>
      <c r="KYP97" s="975" t="s">
        <v>819</v>
      </c>
      <c r="KYQ97" s="975" t="s">
        <v>819</v>
      </c>
      <c r="KYR97" s="975" t="s">
        <v>819</v>
      </c>
      <c r="KYS97" s="975" t="s">
        <v>819</v>
      </c>
      <c r="KYT97" s="975" t="s">
        <v>819</v>
      </c>
      <c r="KYU97" s="975" t="s">
        <v>819</v>
      </c>
      <c r="KYV97" s="975" t="s">
        <v>819</v>
      </c>
      <c r="KYW97" s="975" t="s">
        <v>819</v>
      </c>
      <c r="KYX97" s="975" t="s">
        <v>819</v>
      </c>
      <c r="KYY97" s="975" t="s">
        <v>819</v>
      </c>
      <c r="KYZ97" s="975" t="s">
        <v>819</v>
      </c>
      <c r="KZA97" s="975" t="s">
        <v>819</v>
      </c>
      <c r="KZB97" s="975" t="s">
        <v>819</v>
      </c>
      <c r="KZC97" s="975" t="s">
        <v>819</v>
      </c>
      <c r="KZD97" s="975" t="s">
        <v>819</v>
      </c>
      <c r="KZE97" s="975" t="s">
        <v>819</v>
      </c>
      <c r="KZF97" s="975" t="s">
        <v>819</v>
      </c>
      <c r="KZG97" s="975" t="s">
        <v>819</v>
      </c>
      <c r="KZH97" s="975" t="s">
        <v>819</v>
      </c>
      <c r="KZI97" s="975" t="s">
        <v>819</v>
      </c>
      <c r="KZJ97" s="975" t="s">
        <v>819</v>
      </c>
      <c r="KZK97" s="975" t="s">
        <v>819</v>
      </c>
      <c r="KZL97" s="975" t="s">
        <v>819</v>
      </c>
      <c r="KZM97" s="975" t="s">
        <v>819</v>
      </c>
      <c r="KZN97" s="975" t="s">
        <v>819</v>
      </c>
      <c r="KZO97" s="975" t="s">
        <v>819</v>
      </c>
      <c r="KZP97" s="975" t="s">
        <v>819</v>
      </c>
      <c r="KZQ97" s="975" t="s">
        <v>819</v>
      </c>
      <c r="KZR97" s="975" t="s">
        <v>819</v>
      </c>
      <c r="KZS97" s="975" t="s">
        <v>819</v>
      </c>
      <c r="KZT97" s="975" t="s">
        <v>819</v>
      </c>
      <c r="KZU97" s="975" t="s">
        <v>819</v>
      </c>
      <c r="KZV97" s="975" t="s">
        <v>819</v>
      </c>
      <c r="KZW97" s="975" t="s">
        <v>819</v>
      </c>
      <c r="KZX97" s="975" t="s">
        <v>819</v>
      </c>
      <c r="KZY97" s="975" t="s">
        <v>819</v>
      </c>
      <c r="KZZ97" s="975" t="s">
        <v>819</v>
      </c>
      <c r="LAA97" s="975" t="s">
        <v>819</v>
      </c>
      <c r="LAB97" s="975" t="s">
        <v>819</v>
      </c>
      <c r="LAC97" s="975" t="s">
        <v>819</v>
      </c>
      <c r="LAD97" s="975" t="s">
        <v>819</v>
      </c>
      <c r="LAE97" s="975" t="s">
        <v>819</v>
      </c>
      <c r="LAF97" s="975" t="s">
        <v>819</v>
      </c>
      <c r="LAG97" s="975" t="s">
        <v>819</v>
      </c>
      <c r="LAH97" s="975" t="s">
        <v>819</v>
      </c>
      <c r="LAI97" s="975" t="s">
        <v>819</v>
      </c>
      <c r="LAJ97" s="975" t="s">
        <v>819</v>
      </c>
      <c r="LAK97" s="975" t="s">
        <v>819</v>
      </c>
      <c r="LAL97" s="975" t="s">
        <v>819</v>
      </c>
      <c r="LAM97" s="975" t="s">
        <v>819</v>
      </c>
      <c r="LAN97" s="975" t="s">
        <v>819</v>
      </c>
      <c r="LAO97" s="975" t="s">
        <v>819</v>
      </c>
      <c r="LAP97" s="975" t="s">
        <v>819</v>
      </c>
      <c r="LAQ97" s="975" t="s">
        <v>819</v>
      </c>
      <c r="LAR97" s="975" t="s">
        <v>819</v>
      </c>
      <c r="LAS97" s="975" t="s">
        <v>819</v>
      </c>
      <c r="LAT97" s="975" t="s">
        <v>819</v>
      </c>
      <c r="LAU97" s="975" t="s">
        <v>819</v>
      </c>
      <c r="LAV97" s="975" t="s">
        <v>819</v>
      </c>
      <c r="LAW97" s="975" t="s">
        <v>819</v>
      </c>
      <c r="LAX97" s="975" t="s">
        <v>819</v>
      </c>
      <c r="LAY97" s="975" t="s">
        <v>819</v>
      </c>
      <c r="LAZ97" s="975" t="s">
        <v>819</v>
      </c>
      <c r="LBA97" s="975" t="s">
        <v>819</v>
      </c>
      <c r="LBB97" s="975" t="s">
        <v>819</v>
      </c>
      <c r="LBC97" s="975" t="s">
        <v>819</v>
      </c>
      <c r="LBD97" s="975" t="s">
        <v>819</v>
      </c>
      <c r="LBE97" s="975" t="s">
        <v>819</v>
      </c>
      <c r="LBF97" s="975" t="s">
        <v>819</v>
      </c>
      <c r="LBG97" s="975" t="s">
        <v>819</v>
      </c>
      <c r="LBH97" s="975" t="s">
        <v>819</v>
      </c>
      <c r="LBI97" s="975" t="s">
        <v>819</v>
      </c>
      <c r="LBJ97" s="975" t="s">
        <v>819</v>
      </c>
      <c r="LBK97" s="975" t="s">
        <v>819</v>
      </c>
      <c r="LBL97" s="975" t="s">
        <v>819</v>
      </c>
      <c r="LBM97" s="975" t="s">
        <v>819</v>
      </c>
      <c r="LBN97" s="975" t="s">
        <v>819</v>
      </c>
      <c r="LBO97" s="975" t="s">
        <v>819</v>
      </c>
      <c r="LBP97" s="975" t="s">
        <v>819</v>
      </c>
      <c r="LBQ97" s="975" t="s">
        <v>819</v>
      </c>
      <c r="LBR97" s="975" t="s">
        <v>819</v>
      </c>
      <c r="LBS97" s="975" t="s">
        <v>819</v>
      </c>
      <c r="LBT97" s="975" t="s">
        <v>819</v>
      </c>
      <c r="LBU97" s="975" t="s">
        <v>819</v>
      </c>
      <c r="LBV97" s="975" t="s">
        <v>819</v>
      </c>
      <c r="LBW97" s="975" t="s">
        <v>819</v>
      </c>
      <c r="LBX97" s="975" t="s">
        <v>819</v>
      </c>
      <c r="LBY97" s="975" t="s">
        <v>819</v>
      </c>
      <c r="LBZ97" s="975" t="s">
        <v>819</v>
      </c>
      <c r="LCA97" s="975" t="s">
        <v>819</v>
      </c>
      <c r="LCB97" s="975" t="s">
        <v>819</v>
      </c>
      <c r="LCC97" s="975" t="s">
        <v>819</v>
      </c>
      <c r="LCD97" s="975" t="s">
        <v>819</v>
      </c>
      <c r="LCE97" s="975" t="s">
        <v>819</v>
      </c>
      <c r="LCF97" s="975" t="s">
        <v>819</v>
      </c>
      <c r="LCG97" s="975" t="s">
        <v>819</v>
      </c>
      <c r="LCH97" s="975" t="s">
        <v>819</v>
      </c>
      <c r="LCI97" s="975" t="s">
        <v>819</v>
      </c>
      <c r="LCJ97" s="975" t="s">
        <v>819</v>
      </c>
      <c r="LCK97" s="975" t="s">
        <v>819</v>
      </c>
      <c r="LCL97" s="975" t="s">
        <v>819</v>
      </c>
      <c r="LCM97" s="975" t="s">
        <v>819</v>
      </c>
      <c r="LCN97" s="975" t="s">
        <v>819</v>
      </c>
      <c r="LCO97" s="975" t="s">
        <v>819</v>
      </c>
      <c r="LCP97" s="975" t="s">
        <v>819</v>
      </c>
      <c r="LCQ97" s="975" t="s">
        <v>819</v>
      </c>
      <c r="LCR97" s="975" t="s">
        <v>819</v>
      </c>
      <c r="LCS97" s="975" t="s">
        <v>819</v>
      </c>
      <c r="LCT97" s="975" t="s">
        <v>819</v>
      </c>
      <c r="LCU97" s="975" t="s">
        <v>819</v>
      </c>
      <c r="LCV97" s="975" t="s">
        <v>819</v>
      </c>
      <c r="LCW97" s="975" t="s">
        <v>819</v>
      </c>
      <c r="LCX97" s="975" t="s">
        <v>819</v>
      </c>
      <c r="LCY97" s="975" t="s">
        <v>819</v>
      </c>
      <c r="LCZ97" s="975" t="s">
        <v>819</v>
      </c>
      <c r="LDA97" s="975" t="s">
        <v>819</v>
      </c>
      <c r="LDB97" s="975" t="s">
        <v>819</v>
      </c>
      <c r="LDC97" s="975" t="s">
        <v>819</v>
      </c>
      <c r="LDD97" s="975" t="s">
        <v>819</v>
      </c>
      <c r="LDE97" s="975" t="s">
        <v>819</v>
      </c>
      <c r="LDF97" s="975" t="s">
        <v>819</v>
      </c>
      <c r="LDG97" s="975" t="s">
        <v>819</v>
      </c>
      <c r="LDH97" s="975" t="s">
        <v>819</v>
      </c>
      <c r="LDI97" s="975" t="s">
        <v>819</v>
      </c>
      <c r="LDJ97" s="975" t="s">
        <v>819</v>
      </c>
      <c r="LDK97" s="975" t="s">
        <v>819</v>
      </c>
      <c r="LDL97" s="975" t="s">
        <v>819</v>
      </c>
      <c r="LDM97" s="975" t="s">
        <v>819</v>
      </c>
      <c r="LDN97" s="975" t="s">
        <v>819</v>
      </c>
      <c r="LDO97" s="975" t="s">
        <v>819</v>
      </c>
      <c r="LDP97" s="975" t="s">
        <v>819</v>
      </c>
      <c r="LDQ97" s="975" t="s">
        <v>819</v>
      </c>
      <c r="LDR97" s="975" t="s">
        <v>819</v>
      </c>
      <c r="LDS97" s="975" t="s">
        <v>819</v>
      </c>
      <c r="LDT97" s="975" t="s">
        <v>819</v>
      </c>
      <c r="LDU97" s="975" t="s">
        <v>819</v>
      </c>
      <c r="LDV97" s="975" t="s">
        <v>819</v>
      </c>
      <c r="LDW97" s="975" t="s">
        <v>819</v>
      </c>
      <c r="LDX97" s="975" t="s">
        <v>819</v>
      </c>
      <c r="LDY97" s="975" t="s">
        <v>819</v>
      </c>
      <c r="LDZ97" s="975" t="s">
        <v>819</v>
      </c>
      <c r="LEA97" s="975" t="s">
        <v>819</v>
      </c>
      <c r="LEB97" s="975" t="s">
        <v>819</v>
      </c>
      <c r="LEC97" s="975" t="s">
        <v>819</v>
      </c>
      <c r="LED97" s="975" t="s">
        <v>819</v>
      </c>
      <c r="LEE97" s="975" t="s">
        <v>819</v>
      </c>
      <c r="LEF97" s="975" t="s">
        <v>819</v>
      </c>
      <c r="LEG97" s="975" t="s">
        <v>819</v>
      </c>
      <c r="LEH97" s="975" t="s">
        <v>819</v>
      </c>
      <c r="LEI97" s="975" t="s">
        <v>819</v>
      </c>
      <c r="LEJ97" s="975" t="s">
        <v>819</v>
      </c>
      <c r="LEK97" s="975" t="s">
        <v>819</v>
      </c>
      <c r="LEL97" s="975" t="s">
        <v>819</v>
      </c>
      <c r="LEM97" s="975" t="s">
        <v>819</v>
      </c>
      <c r="LEN97" s="975" t="s">
        <v>819</v>
      </c>
      <c r="LEO97" s="975" t="s">
        <v>819</v>
      </c>
      <c r="LEP97" s="975" t="s">
        <v>819</v>
      </c>
      <c r="LEQ97" s="975" t="s">
        <v>819</v>
      </c>
      <c r="LER97" s="975" t="s">
        <v>819</v>
      </c>
      <c r="LES97" s="975" t="s">
        <v>819</v>
      </c>
      <c r="LET97" s="975" t="s">
        <v>819</v>
      </c>
      <c r="LEU97" s="975" t="s">
        <v>819</v>
      </c>
      <c r="LEV97" s="975" t="s">
        <v>819</v>
      </c>
      <c r="LEW97" s="975" t="s">
        <v>819</v>
      </c>
      <c r="LEX97" s="975" t="s">
        <v>819</v>
      </c>
      <c r="LEY97" s="975" t="s">
        <v>819</v>
      </c>
      <c r="LEZ97" s="975" t="s">
        <v>819</v>
      </c>
      <c r="LFA97" s="975" t="s">
        <v>819</v>
      </c>
      <c r="LFB97" s="975" t="s">
        <v>819</v>
      </c>
      <c r="LFC97" s="975" t="s">
        <v>819</v>
      </c>
      <c r="LFD97" s="975" t="s">
        <v>819</v>
      </c>
      <c r="LFE97" s="975" t="s">
        <v>819</v>
      </c>
      <c r="LFF97" s="975" t="s">
        <v>819</v>
      </c>
      <c r="LFG97" s="975" t="s">
        <v>819</v>
      </c>
      <c r="LFH97" s="975" t="s">
        <v>819</v>
      </c>
      <c r="LFI97" s="975" t="s">
        <v>819</v>
      </c>
      <c r="LFJ97" s="975" t="s">
        <v>819</v>
      </c>
      <c r="LFK97" s="975" t="s">
        <v>819</v>
      </c>
      <c r="LFL97" s="975" t="s">
        <v>819</v>
      </c>
      <c r="LFM97" s="975" t="s">
        <v>819</v>
      </c>
      <c r="LFN97" s="975" t="s">
        <v>819</v>
      </c>
      <c r="LFO97" s="975" t="s">
        <v>819</v>
      </c>
      <c r="LFP97" s="975" t="s">
        <v>819</v>
      </c>
      <c r="LFQ97" s="975" t="s">
        <v>819</v>
      </c>
      <c r="LFR97" s="975" t="s">
        <v>819</v>
      </c>
      <c r="LFS97" s="975" t="s">
        <v>819</v>
      </c>
      <c r="LFT97" s="975" t="s">
        <v>819</v>
      </c>
      <c r="LFU97" s="975" t="s">
        <v>819</v>
      </c>
      <c r="LFV97" s="975" t="s">
        <v>819</v>
      </c>
      <c r="LFW97" s="975" t="s">
        <v>819</v>
      </c>
      <c r="LFX97" s="975" t="s">
        <v>819</v>
      </c>
      <c r="LFY97" s="975" t="s">
        <v>819</v>
      </c>
      <c r="LFZ97" s="975" t="s">
        <v>819</v>
      </c>
      <c r="LGA97" s="975" t="s">
        <v>819</v>
      </c>
      <c r="LGB97" s="975" t="s">
        <v>819</v>
      </c>
      <c r="LGC97" s="975" t="s">
        <v>819</v>
      </c>
      <c r="LGD97" s="975" t="s">
        <v>819</v>
      </c>
      <c r="LGE97" s="975" t="s">
        <v>819</v>
      </c>
      <c r="LGF97" s="975" t="s">
        <v>819</v>
      </c>
      <c r="LGG97" s="975" t="s">
        <v>819</v>
      </c>
      <c r="LGH97" s="975" t="s">
        <v>819</v>
      </c>
      <c r="LGI97" s="975" t="s">
        <v>819</v>
      </c>
      <c r="LGJ97" s="975" t="s">
        <v>819</v>
      </c>
      <c r="LGK97" s="975" t="s">
        <v>819</v>
      </c>
      <c r="LGL97" s="975" t="s">
        <v>819</v>
      </c>
      <c r="LGM97" s="975" t="s">
        <v>819</v>
      </c>
      <c r="LGN97" s="975" t="s">
        <v>819</v>
      </c>
      <c r="LGO97" s="975" t="s">
        <v>819</v>
      </c>
      <c r="LGP97" s="975" t="s">
        <v>819</v>
      </c>
      <c r="LGQ97" s="975" t="s">
        <v>819</v>
      </c>
      <c r="LGR97" s="975" t="s">
        <v>819</v>
      </c>
      <c r="LGS97" s="975" t="s">
        <v>819</v>
      </c>
      <c r="LGT97" s="975" t="s">
        <v>819</v>
      </c>
      <c r="LGU97" s="975" t="s">
        <v>819</v>
      </c>
      <c r="LGV97" s="975" t="s">
        <v>819</v>
      </c>
      <c r="LGW97" s="975" t="s">
        <v>819</v>
      </c>
      <c r="LGX97" s="975" t="s">
        <v>819</v>
      </c>
      <c r="LGY97" s="975" t="s">
        <v>819</v>
      </c>
      <c r="LGZ97" s="975" t="s">
        <v>819</v>
      </c>
      <c r="LHA97" s="975" t="s">
        <v>819</v>
      </c>
      <c r="LHB97" s="975" t="s">
        <v>819</v>
      </c>
      <c r="LHC97" s="975" t="s">
        <v>819</v>
      </c>
      <c r="LHD97" s="975" t="s">
        <v>819</v>
      </c>
      <c r="LHE97" s="975" t="s">
        <v>819</v>
      </c>
      <c r="LHF97" s="975" t="s">
        <v>819</v>
      </c>
      <c r="LHG97" s="975" t="s">
        <v>819</v>
      </c>
      <c r="LHH97" s="975" t="s">
        <v>819</v>
      </c>
      <c r="LHI97" s="975" t="s">
        <v>819</v>
      </c>
      <c r="LHJ97" s="975" t="s">
        <v>819</v>
      </c>
      <c r="LHK97" s="975" t="s">
        <v>819</v>
      </c>
      <c r="LHL97" s="975" t="s">
        <v>819</v>
      </c>
      <c r="LHM97" s="975" t="s">
        <v>819</v>
      </c>
      <c r="LHN97" s="975" t="s">
        <v>819</v>
      </c>
      <c r="LHO97" s="975" t="s">
        <v>819</v>
      </c>
      <c r="LHP97" s="975" t="s">
        <v>819</v>
      </c>
      <c r="LHQ97" s="975" t="s">
        <v>819</v>
      </c>
      <c r="LHR97" s="975" t="s">
        <v>819</v>
      </c>
      <c r="LHS97" s="975" t="s">
        <v>819</v>
      </c>
      <c r="LHT97" s="975" t="s">
        <v>819</v>
      </c>
      <c r="LHU97" s="975" t="s">
        <v>819</v>
      </c>
      <c r="LHV97" s="975" t="s">
        <v>819</v>
      </c>
      <c r="LHW97" s="975" t="s">
        <v>819</v>
      </c>
      <c r="LHX97" s="975" t="s">
        <v>819</v>
      </c>
      <c r="LHY97" s="975" t="s">
        <v>819</v>
      </c>
      <c r="LHZ97" s="975" t="s">
        <v>819</v>
      </c>
      <c r="LIA97" s="975" t="s">
        <v>819</v>
      </c>
      <c r="LIB97" s="975" t="s">
        <v>819</v>
      </c>
      <c r="LIC97" s="975" t="s">
        <v>819</v>
      </c>
      <c r="LID97" s="975" t="s">
        <v>819</v>
      </c>
      <c r="LIE97" s="975" t="s">
        <v>819</v>
      </c>
      <c r="LIF97" s="975" t="s">
        <v>819</v>
      </c>
      <c r="LIG97" s="975" t="s">
        <v>819</v>
      </c>
      <c r="LIH97" s="975" t="s">
        <v>819</v>
      </c>
      <c r="LII97" s="975" t="s">
        <v>819</v>
      </c>
      <c r="LIJ97" s="975" t="s">
        <v>819</v>
      </c>
      <c r="LIK97" s="975" t="s">
        <v>819</v>
      </c>
      <c r="LIL97" s="975" t="s">
        <v>819</v>
      </c>
      <c r="LIM97" s="975" t="s">
        <v>819</v>
      </c>
      <c r="LIN97" s="975" t="s">
        <v>819</v>
      </c>
      <c r="LIO97" s="975" t="s">
        <v>819</v>
      </c>
      <c r="LIP97" s="975" t="s">
        <v>819</v>
      </c>
      <c r="LIQ97" s="975" t="s">
        <v>819</v>
      </c>
      <c r="LIR97" s="975" t="s">
        <v>819</v>
      </c>
      <c r="LIS97" s="975" t="s">
        <v>819</v>
      </c>
      <c r="LIT97" s="975" t="s">
        <v>819</v>
      </c>
      <c r="LIU97" s="975" t="s">
        <v>819</v>
      </c>
      <c r="LIV97" s="975" t="s">
        <v>819</v>
      </c>
      <c r="LIW97" s="975" t="s">
        <v>819</v>
      </c>
      <c r="LIX97" s="975" t="s">
        <v>819</v>
      </c>
      <c r="LIY97" s="975" t="s">
        <v>819</v>
      </c>
      <c r="LIZ97" s="975" t="s">
        <v>819</v>
      </c>
      <c r="LJA97" s="975" t="s">
        <v>819</v>
      </c>
      <c r="LJB97" s="975" t="s">
        <v>819</v>
      </c>
      <c r="LJC97" s="975" t="s">
        <v>819</v>
      </c>
      <c r="LJD97" s="975" t="s">
        <v>819</v>
      </c>
      <c r="LJE97" s="975" t="s">
        <v>819</v>
      </c>
      <c r="LJF97" s="975" t="s">
        <v>819</v>
      </c>
      <c r="LJG97" s="975" t="s">
        <v>819</v>
      </c>
      <c r="LJH97" s="975" t="s">
        <v>819</v>
      </c>
      <c r="LJI97" s="975" t="s">
        <v>819</v>
      </c>
      <c r="LJJ97" s="975" t="s">
        <v>819</v>
      </c>
      <c r="LJK97" s="975" t="s">
        <v>819</v>
      </c>
      <c r="LJL97" s="975" t="s">
        <v>819</v>
      </c>
      <c r="LJM97" s="975" t="s">
        <v>819</v>
      </c>
      <c r="LJN97" s="975" t="s">
        <v>819</v>
      </c>
      <c r="LJO97" s="975" t="s">
        <v>819</v>
      </c>
      <c r="LJP97" s="975" t="s">
        <v>819</v>
      </c>
      <c r="LJQ97" s="975" t="s">
        <v>819</v>
      </c>
      <c r="LJR97" s="975" t="s">
        <v>819</v>
      </c>
      <c r="LJS97" s="975" t="s">
        <v>819</v>
      </c>
      <c r="LJT97" s="975" t="s">
        <v>819</v>
      </c>
      <c r="LJU97" s="975" t="s">
        <v>819</v>
      </c>
      <c r="LJV97" s="975" t="s">
        <v>819</v>
      </c>
      <c r="LJW97" s="975" t="s">
        <v>819</v>
      </c>
      <c r="LJX97" s="975" t="s">
        <v>819</v>
      </c>
      <c r="LJY97" s="975" t="s">
        <v>819</v>
      </c>
      <c r="LJZ97" s="975" t="s">
        <v>819</v>
      </c>
      <c r="LKA97" s="975" t="s">
        <v>819</v>
      </c>
      <c r="LKB97" s="975" t="s">
        <v>819</v>
      </c>
      <c r="LKC97" s="975" t="s">
        <v>819</v>
      </c>
      <c r="LKD97" s="975" t="s">
        <v>819</v>
      </c>
      <c r="LKE97" s="975" t="s">
        <v>819</v>
      </c>
      <c r="LKF97" s="975" t="s">
        <v>819</v>
      </c>
      <c r="LKG97" s="975" t="s">
        <v>819</v>
      </c>
      <c r="LKH97" s="975" t="s">
        <v>819</v>
      </c>
      <c r="LKI97" s="975" t="s">
        <v>819</v>
      </c>
      <c r="LKJ97" s="975" t="s">
        <v>819</v>
      </c>
      <c r="LKK97" s="975" t="s">
        <v>819</v>
      </c>
      <c r="LKL97" s="975" t="s">
        <v>819</v>
      </c>
      <c r="LKM97" s="975" t="s">
        <v>819</v>
      </c>
      <c r="LKN97" s="975" t="s">
        <v>819</v>
      </c>
      <c r="LKO97" s="975" t="s">
        <v>819</v>
      </c>
      <c r="LKP97" s="975" t="s">
        <v>819</v>
      </c>
      <c r="LKQ97" s="975" t="s">
        <v>819</v>
      </c>
      <c r="LKR97" s="975" t="s">
        <v>819</v>
      </c>
      <c r="LKS97" s="975" t="s">
        <v>819</v>
      </c>
      <c r="LKT97" s="975" t="s">
        <v>819</v>
      </c>
      <c r="LKU97" s="975" t="s">
        <v>819</v>
      </c>
      <c r="LKV97" s="975" t="s">
        <v>819</v>
      </c>
      <c r="LKW97" s="975" t="s">
        <v>819</v>
      </c>
      <c r="LKX97" s="975" t="s">
        <v>819</v>
      </c>
      <c r="LKY97" s="975" t="s">
        <v>819</v>
      </c>
      <c r="LKZ97" s="975" t="s">
        <v>819</v>
      </c>
      <c r="LLA97" s="975" t="s">
        <v>819</v>
      </c>
      <c r="LLB97" s="975" t="s">
        <v>819</v>
      </c>
      <c r="LLC97" s="975" t="s">
        <v>819</v>
      </c>
      <c r="LLD97" s="975" t="s">
        <v>819</v>
      </c>
      <c r="LLE97" s="975" t="s">
        <v>819</v>
      </c>
      <c r="LLF97" s="975" t="s">
        <v>819</v>
      </c>
      <c r="LLG97" s="975" t="s">
        <v>819</v>
      </c>
      <c r="LLH97" s="975" t="s">
        <v>819</v>
      </c>
      <c r="LLI97" s="975" t="s">
        <v>819</v>
      </c>
      <c r="LLJ97" s="975" t="s">
        <v>819</v>
      </c>
      <c r="LLK97" s="975" t="s">
        <v>819</v>
      </c>
      <c r="LLL97" s="975" t="s">
        <v>819</v>
      </c>
      <c r="LLM97" s="975" t="s">
        <v>819</v>
      </c>
      <c r="LLN97" s="975" t="s">
        <v>819</v>
      </c>
      <c r="LLO97" s="975" t="s">
        <v>819</v>
      </c>
      <c r="LLP97" s="975" t="s">
        <v>819</v>
      </c>
      <c r="LLQ97" s="975" t="s">
        <v>819</v>
      </c>
      <c r="LLR97" s="975" t="s">
        <v>819</v>
      </c>
      <c r="LLS97" s="975" t="s">
        <v>819</v>
      </c>
      <c r="LLT97" s="975" t="s">
        <v>819</v>
      </c>
      <c r="LLU97" s="975" t="s">
        <v>819</v>
      </c>
      <c r="LLV97" s="975" t="s">
        <v>819</v>
      </c>
      <c r="LLW97" s="975" t="s">
        <v>819</v>
      </c>
      <c r="LLX97" s="975" t="s">
        <v>819</v>
      </c>
      <c r="LLY97" s="975" t="s">
        <v>819</v>
      </c>
      <c r="LLZ97" s="975" t="s">
        <v>819</v>
      </c>
      <c r="LMA97" s="975" t="s">
        <v>819</v>
      </c>
      <c r="LMB97" s="975" t="s">
        <v>819</v>
      </c>
      <c r="LMC97" s="975" t="s">
        <v>819</v>
      </c>
      <c r="LMD97" s="975" t="s">
        <v>819</v>
      </c>
      <c r="LME97" s="975" t="s">
        <v>819</v>
      </c>
      <c r="LMF97" s="975" t="s">
        <v>819</v>
      </c>
      <c r="LMG97" s="975" t="s">
        <v>819</v>
      </c>
      <c r="LMH97" s="975" t="s">
        <v>819</v>
      </c>
      <c r="LMI97" s="975" t="s">
        <v>819</v>
      </c>
      <c r="LMJ97" s="975" t="s">
        <v>819</v>
      </c>
      <c r="LMK97" s="975" t="s">
        <v>819</v>
      </c>
      <c r="LML97" s="975" t="s">
        <v>819</v>
      </c>
      <c r="LMM97" s="975" t="s">
        <v>819</v>
      </c>
      <c r="LMN97" s="975" t="s">
        <v>819</v>
      </c>
      <c r="LMO97" s="975" t="s">
        <v>819</v>
      </c>
      <c r="LMP97" s="975" t="s">
        <v>819</v>
      </c>
      <c r="LMQ97" s="975" t="s">
        <v>819</v>
      </c>
      <c r="LMR97" s="975" t="s">
        <v>819</v>
      </c>
      <c r="LMS97" s="975" t="s">
        <v>819</v>
      </c>
      <c r="LMT97" s="975" t="s">
        <v>819</v>
      </c>
      <c r="LMU97" s="975" t="s">
        <v>819</v>
      </c>
      <c r="LMV97" s="975" t="s">
        <v>819</v>
      </c>
      <c r="LMW97" s="975" t="s">
        <v>819</v>
      </c>
      <c r="LMX97" s="975" t="s">
        <v>819</v>
      </c>
      <c r="LMY97" s="975" t="s">
        <v>819</v>
      </c>
      <c r="LMZ97" s="975" t="s">
        <v>819</v>
      </c>
      <c r="LNA97" s="975" t="s">
        <v>819</v>
      </c>
      <c r="LNB97" s="975" t="s">
        <v>819</v>
      </c>
      <c r="LNC97" s="975" t="s">
        <v>819</v>
      </c>
      <c r="LND97" s="975" t="s">
        <v>819</v>
      </c>
      <c r="LNE97" s="975" t="s">
        <v>819</v>
      </c>
      <c r="LNF97" s="975" t="s">
        <v>819</v>
      </c>
      <c r="LNG97" s="975" t="s">
        <v>819</v>
      </c>
      <c r="LNH97" s="975" t="s">
        <v>819</v>
      </c>
      <c r="LNI97" s="975" t="s">
        <v>819</v>
      </c>
      <c r="LNJ97" s="975" t="s">
        <v>819</v>
      </c>
      <c r="LNK97" s="975" t="s">
        <v>819</v>
      </c>
      <c r="LNL97" s="975" t="s">
        <v>819</v>
      </c>
      <c r="LNM97" s="975" t="s">
        <v>819</v>
      </c>
      <c r="LNN97" s="975" t="s">
        <v>819</v>
      </c>
      <c r="LNO97" s="975" t="s">
        <v>819</v>
      </c>
      <c r="LNP97" s="975" t="s">
        <v>819</v>
      </c>
      <c r="LNQ97" s="975" t="s">
        <v>819</v>
      </c>
      <c r="LNR97" s="975" t="s">
        <v>819</v>
      </c>
      <c r="LNS97" s="975" t="s">
        <v>819</v>
      </c>
      <c r="LNT97" s="975" t="s">
        <v>819</v>
      </c>
      <c r="LNU97" s="975" t="s">
        <v>819</v>
      </c>
      <c r="LNV97" s="975" t="s">
        <v>819</v>
      </c>
      <c r="LNW97" s="975" t="s">
        <v>819</v>
      </c>
      <c r="LNX97" s="975" t="s">
        <v>819</v>
      </c>
      <c r="LNY97" s="975" t="s">
        <v>819</v>
      </c>
      <c r="LNZ97" s="975" t="s">
        <v>819</v>
      </c>
      <c r="LOA97" s="975" t="s">
        <v>819</v>
      </c>
      <c r="LOB97" s="975" t="s">
        <v>819</v>
      </c>
      <c r="LOC97" s="975" t="s">
        <v>819</v>
      </c>
      <c r="LOD97" s="975" t="s">
        <v>819</v>
      </c>
      <c r="LOE97" s="975" t="s">
        <v>819</v>
      </c>
      <c r="LOF97" s="975" t="s">
        <v>819</v>
      </c>
      <c r="LOG97" s="975" t="s">
        <v>819</v>
      </c>
      <c r="LOH97" s="975" t="s">
        <v>819</v>
      </c>
      <c r="LOI97" s="975" t="s">
        <v>819</v>
      </c>
      <c r="LOJ97" s="975" t="s">
        <v>819</v>
      </c>
      <c r="LOK97" s="975" t="s">
        <v>819</v>
      </c>
      <c r="LOL97" s="975" t="s">
        <v>819</v>
      </c>
      <c r="LOM97" s="975" t="s">
        <v>819</v>
      </c>
      <c r="LON97" s="975" t="s">
        <v>819</v>
      </c>
      <c r="LOO97" s="975" t="s">
        <v>819</v>
      </c>
      <c r="LOP97" s="975" t="s">
        <v>819</v>
      </c>
      <c r="LOQ97" s="975" t="s">
        <v>819</v>
      </c>
      <c r="LOR97" s="975" t="s">
        <v>819</v>
      </c>
      <c r="LOS97" s="975" t="s">
        <v>819</v>
      </c>
      <c r="LOT97" s="975" t="s">
        <v>819</v>
      </c>
      <c r="LOU97" s="975" t="s">
        <v>819</v>
      </c>
      <c r="LOV97" s="975" t="s">
        <v>819</v>
      </c>
      <c r="LOW97" s="975" t="s">
        <v>819</v>
      </c>
      <c r="LOX97" s="975" t="s">
        <v>819</v>
      </c>
      <c r="LOY97" s="975" t="s">
        <v>819</v>
      </c>
      <c r="LOZ97" s="975" t="s">
        <v>819</v>
      </c>
      <c r="LPA97" s="975" t="s">
        <v>819</v>
      </c>
      <c r="LPB97" s="975" t="s">
        <v>819</v>
      </c>
      <c r="LPC97" s="975" t="s">
        <v>819</v>
      </c>
      <c r="LPD97" s="975" t="s">
        <v>819</v>
      </c>
      <c r="LPE97" s="975" t="s">
        <v>819</v>
      </c>
      <c r="LPF97" s="975" t="s">
        <v>819</v>
      </c>
      <c r="LPG97" s="975" t="s">
        <v>819</v>
      </c>
      <c r="LPH97" s="975" t="s">
        <v>819</v>
      </c>
      <c r="LPI97" s="975" t="s">
        <v>819</v>
      </c>
      <c r="LPJ97" s="975" t="s">
        <v>819</v>
      </c>
      <c r="LPK97" s="975" t="s">
        <v>819</v>
      </c>
      <c r="LPL97" s="975" t="s">
        <v>819</v>
      </c>
      <c r="LPM97" s="975" t="s">
        <v>819</v>
      </c>
      <c r="LPN97" s="975" t="s">
        <v>819</v>
      </c>
      <c r="LPO97" s="975" t="s">
        <v>819</v>
      </c>
      <c r="LPP97" s="975" t="s">
        <v>819</v>
      </c>
      <c r="LPQ97" s="975" t="s">
        <v>819</v>
      </c>
      <c r="LPR97" s="975" t="s">
        <v>819</v>
      </c>
      <c r="LPS97" s="975" t="s">
        <v>819</v>
      </c>
      <c r="LPT97" s="975" t="s">
        <v>819</v>
      </c>
      <c r="LPU97" s="975" t="s">
        <v>819</v>
      </c>
      <c r="LPV97" s="975" t="s">
        <v>819</v>
      </c>
      <c r="LPW97" s="975" t="s">
        <v>819</v>
      </c>
      <c r="LPX97" s="975" t="s">
        <v>819</v>
      </c>
      <c r="LPY97" s="975" t="s">
        <v>819</v>
      </c>
      <c r="LPZ97" s="975" t="s">
        <v>819</v>
      </c>
      <c r="LQA97" s="975" t="s">
        <v>819</v>
      </c>
      <c r="LQB97" s="975" t="s">
        <v>819</v>
      </c>
      <c r="LQC97" s="975" t="s">
        <v>819</v>
      </c>
      <c r="LQD97" s="975" t="s">
        <v>819</v>
      </c>
      <c r="LQE97" s="975" t="s">
        <v>819</v>
      </c>
      <c r="LQF97" s="975" t="s">
        <v>819</v>
      </c>
      <c r="LQG97" s="975" t="s">
        <v>819</v>
      </c>
      <c r="LQH97" s="975" t="s">
        <v>819</v>
      </c>
      <c r="LQI97" s="975" t="s">
        <v>819</v>
      </c>
      <c r="LQJ97" s="975" t="s">
        <v>819</v>
      </c>
      <c r="LQK97" s="975" t="s">
        <v>819</v>
      </c>
      <c r="LQL97" s="975" t="s">
        <v>819</v>
      </c>
      <c r="LQM97" s="975" t="s">
        <v>819</v>
      </c>
      <c r="LQN97" s="975" t="s">
        <v>819</v>
      </c>
      <c r="LQO97" s="975" t="s">
        <v>819</v>
      </c>
      <c r="LQP97" s="975" t="s">
        <v>819</v>
      </c>
      <c r="LQQ97" s="975" t="s">
        <v>819</v>
      </c>
      <c r="LQR97" s="975" t="s">
        <v>819</v>
      </c>
      <c r="LQS97" s="975" t="s">
        <v>819</v>
      </c>
      <c r="LQT97" s="975" t="s">
        <v>819</v>
      </c>
      <c r="LQU97" s="975" t="s">
        <v>819</v>
      </c>
      <c r="LQV97" s="975" t="s">
        <v>819</v>
      </c>
      <c r="LQW97" s="975" t="s">
        <v>819</v>
      </c>
      <c r="LQX97" s="975" t="s">
        <v>819</v>
      </c>
      <c r="LQY97" s="975" t="s">
        <v>819</v>
      </c>
      <c r="LQZ97" s="975" t="s">
        <v>819</v>
      </c>
      <c r="LRA97" s="975" t="s">
        <v>819</v>
      </c>
      <c r="LRB97" s="975" t="s">
        <v>819</v>
      </c>
      <c r="LRC97" s="975" t="s">
        <v>819</v>
      </c>
      <c r="LRD97" s="975" t="s">
        <v>819</v>
      </c>
      <c r="LRE97" s="975" t="s">
        <v>819</v>
      </c>
      <c r="LRF97" s="975" t="s">
        <v>819</v>
      </c>
      <c r="LRG97" s="975" t="s">
        <v>819</v>
      </c>
      <c r="LRH97" s="975" t="s">
        <v>819</v>
      </c>
      <c r="LRI97" s="975" t="s">
        <v>819</v>
      </c>
      <c r="LRJ97" s="975" t="s">
        <v>819</v>
      </c>
      <c r="LRK97" s="975" t="s">
        <v>819</v>
      </c>
      <c r="LRL97" s="975" t="s">
        <v>819</v>
      </c>
      <c r="LRM97" s="975" t="s">
        <v>819</v>
      </c>
      <c r="LRN97" s="975" t="s">
        <v>819</v>
      </c>
      <c r="LRO97" s="975" t="s">
        <v>819</v>
      </c>
      <c r="LRP97" s="975" t="s">
        <v>819</v>
      </c>
      <c r="LRQ97" s="975" t="s">
        <v>819</v>
      </c>
      <c r="LRR97" s="975" t="s">
        <v>819</v>
      </c>
      <c r="LRS97" s="975" t="s">
        <v>819</v>
      </c>
      <c r="LRT97" s="975" t="s">
        <v>819</v>
      </c>
      <c r="LRU97" s="975" t="s">
        <v>819</v>
      </c>
      <c r="LRV97" s="975" t="s">
        <v>819</v>
      </c>
      <c r="LRW97" s="975" t="s">
        <v>819</v>
      </c>
      <c r="LRX97" s="975" t="s">
        <v>819</v>
      </c>
      <c r="LRY97" s="975" t="s">
        <v>819</v>
      </c>
      <c r="LRZ97" s="975" t="s">
        <v>819</v>
      </c>
      <c r="LSA97" s="975" t="s">
        <v>819</v>
      </c>
      <c r="LSB97" s="975" t="s">
        <v>819</v>
      </c>
      <c r="LSC97" s="975" t="s">
        <v>819</v>
      </c>
      <c r="LSD97" s="975" t="s">
        <v>819</v>
      </c>
      <c r="LSE97" s="975" t="s">
        <v>819</v>
      </c>
      <c r="LSF97" s="975" t="s">
        <v>819</v>
      </c>
      <c r="LSG97" s="975" t="s">
        <v>819</v>
      </c>
      <c r="LSH97" s="975" t="s">
        <v>819</v>
      </c>
      <c r="LSI97" s="975" t="s">
        <v>819</v>
      </c>
      <c r="LSJ97" s="975" t="s">
        <v>819</v>
      </c>
      <c r="LSK97" s="975" t="s">
        <v>819</v>
      </c>
      <c r="LSL97" s="975" t="s">
        <v>819</v>
      </c>
      <c r="LSM97" s="975" t="s">
        <v>819</v>
      </c>
      <c r="LSN97" s="975" t="s">
        <v>819</v>
      </c>
      <c r="LSO97" s="975" t="s">
        <v>819</v>
      </c>
      <c r="LSP97" s="975" t="s">
        <v>819</v>
      </c>
      <c r="LSQ97" s="975" t="s">
        <v>819</v>
      </c>
      <c r="LSR97" s="975" t="s">
        <v>819</v>
      </c>
      <c r="LSS97" s="975" t="s">
        <v>819</v>
      </c>
      <c r="LST97" s="975" t="s">
        <v>819</v>
      </c>
      <c r="LSU97" s="975" t="s">
        <v>819</v>
      </c>
      <c r="LSV97" s="975" t="s">
        <v>819</v>
      </c>
      <c r="LSW97" s="975" t="s">
        <v>819</v>
      </c>
      <c r="LSX97" s="975" t="s">
        <v>819</v>
      </c>
      <c r="LSY97" s="975" t="s">
        <v>819</v>
      </c>
      <c r="LSZ97" s="975" t="s">
        <v>819</v>
      </c>
      <c r="LTA97" s="975" t="s">
        <v>819</v>
      </c>
      <c r="LTB97" s="975" t="s">
        <v>819</v>
      </c>
      <c r="LTC97" s="975" t="s">
        <v>819</v>
      </c>
      <c r="LTD97" s="975" t="s">
        <v>819</v>
      </c>
      <c r="LTE97" s="975" t="s">
        <v>819</v>
      </c>
      <c r="LTF97" s="975" t="s">
        <v>819</v>
      </c>
      <c r="LTG97" s="975" t="s">
        <v>819</v>
      </c>
      <c r="LTH97" s="975" t="s">
        <v>819</v>
      </c>
      <c r="LTI97" s="975" t="s">
        <v>819</v>
      </c>
      <c r="LTJ97" s="975" t="s">
        <v>819</v>
      </c>
      <c r="LTK97" s="975" t="s">
        <v>819</v>
      </c>
      <c r="LTL97" s="975" t="s">
        <v>819</v>
      </c>
      <c r="LTM97" s="975" t="s">
        <v>819</v>
      </c>
      <c r="LTN97" s="975" t="s">
        <v>819</v>
      </c>
      <c r="LTO97" s="975" t="s">
        <v>819</v>
      </c>
      <c r="LTP97" s="975" t="s">
        <v>819</v>
      </c>
      <c r="LTQ97" s="975" t="s">
        <v>819</v>
      </c>
      <c r="LTR97" s="975" t="s">
        <v>819</v>
      </c>
      <c r="LTS97" s="975" t="s">
        <v>819</v>
      </c>
      <c r="LTT97" s="975" t="s">
        <v>819</v>
      </c>
      <c r="LTU97" s="975" t="s">
        <v>819</v>
      </c>
      <c r="LTV97" s="975" t="s">
        <v>819</v>
      </c>
      <c r="LTW97" s="975" t="s">
        <v>819</v>
      </c>
      <c r="LTX97" s="975" t="s">
        <v>819</v>
      </c>
      <c r="LTY97" s="975" t="s">
        <v>819</v>
      </c>
      <c r="LTZ97" s="975" t="s">
        <v>819</v>
      </c>
      <c r="LUA97" s="975" t="s">
        <v>819</v>
      </c>
      <c r="LUB97" s="975" t="s">
        <v>819</v>
      </c>
      <c r="LUC97" s="975" t="s">
        <v>819</v>
      </c>
      <c r="LUD97" s="975" t="s">
        <v>819</v>
      </c>
      <c r="LUE97" s="975" t="s">
        <v>819</v>
      </c>
      <c r="LUF97" s="975" t="s">
        <v>819</v>
      </c>
      <c r="LUG97" s="975" t="s">
        <v>819</v>
      </c>
      <c r="LUH97" s="975" t="s">
        <v>819</v>
      </c>
      <c r="LUI97" s="975" t="s">
        <v>819</v>
      </c>
      <c r="LUJ97" s="975" t="s">
        <v>819</v>
      </c>
      <c r="LUK97" s="975" t="s">
        <v>819</v>
      </c>
      <c r="LUL97" s="975" t="s">
        <v>819</v>
      </c>
      <c r="LUM97" s="975" t="s">
        <v>819</v>
      </c>
      <c r="LUN97" s="975" t="s">
        <v>819</v>
      </c>
      <c r="LUO97" s="975" t="s">
        <v>819</v>
      </c>
      <c r="LUP97" s="975" t="s">
        <v>819</v>
      </c>
      <c r="LUQ97" s="975" t="s">
        <v>819</v>
      </c>
      <c r="LUR97" s="975" t="s">
        <v>819</v>
      </c>
      <c r="LUS97" s="975" t="s">
        <v>819</v>
      </c>
      <c r="LUT97" s="975" t="s">
        <v>819</v>
      </c>
      <c r="LUU97" s="975" t="s">
        <v>819</v>
      </c>
      <c r="LUV97" s="975" t="s">
        <v>819</v>
      </c>
      <c r="LUW97" s="975" t="s">
        <v>819</v>
      </c>
      <c r="LUX97" s="975" t="s">
        <v>819</v>
      </c>
      <c r="LUY97" s="975" t="s">
        <v>819</v>
      </c>
      <c r="LUZ97" s="975" t="s">
        <v>819</v>
      </c>
      <c r="LVA97" s="975" t="s">
        <v>819</v>
      </c>
      <c r="LVB97" s="975" t="s">
        <v>819</v>
      </c>
      <c r="LVC97" s="975" t="s">
        <v>819</v>
      </c>
      <c r="LVD97" s="975" t="s">
        <v>819</v>
      </c>
      <c r="LVE97" s="975" t="s">
        <v>819</v>
      </c>
      <c r="LVF97" s="975" t="s">
        <v>819</v>
      </c>
      <c r="LVG97" s="975" t="s">
        <v>819</v>
      </c>
      <c r="LVH97" s="975" t="s">
        <v>819</v>
      </c>
      <c r="LVI97" s="975" t="s">
        <v>819</v>
      </c>
      <c r="LVJ97" s="975" t="s">
        <v>819</v>
      </c>
      <c r="LVK97" s="975" t="s">
        <v>819</v>
      </c>
      <c r="LVL97" s="975" t="s">
        <v>819</v>
      </c>
      <c r="LVM97" s="975" t="s">
        <v>819</v>
      </c>
      <c r="LVN97" s="975" t="s">
        <v>819</v>
      </c>
      <c r="LVO97" s="975" t="s">
        <v>819</v>
      </c>
      <c r="LVP97" s="975" t="s">
        <v>819</v>
      </c>
      <c r="LVQ97" s="975" t="s">
        <v>819</v>
      </c>
      <c r="LVR97" s="975" t="s">
        <v>819</v>
      </c>
      <c r="LVS97" s="975" t="s">
        <v>819</v>
      </c>
      <c r="LVT97" s="975" t="s">
        <v>819</v>
      </c>
      <c r="LVU97" s="975" t="s">
        <v>819</v>
      </c>
      <c r="LVV97" s="975" t="s">
        <v>819</v>
      </c>
      <c r="LVW97" s="975" t="s">
        <v>819</v>
      </c>
      <c r="LVX97" s="975" t="s">
        <v>819</v>
      </c>
      <c r="LVY97" s="975" t="s">
        <v>819</v>
      </c>
      <c r="LVZ97" s="975" t="s">
        <v>819</v>
      </c>
      <c r="LWA97" s="975" t="s">
        <v>819</v>
      </c>
      <c r="LWB97" s="975" t="s">
        <v>819</v>
      </c>
      <c r="LWC97" s="975" t="s">
        <v>819</v>
      </c>
      <c r="LWD97" s="975" t="s">
        <v>819</v>
      </c>
      <c r="LWE97" s="975" t="s">
        <v>819</v>
      </c>
      <c r="LWF97" s="975" t="s">
        <v>819</v>
      </c>
      <c r="LWG97" s="975" t="s">
        <v>819</v>
      </c>
      <c r="LWH97" s="975" t="s">
        <v>819</v>
      </c>
      <c r="LWI97" s="975" t="s">
        <v>819</v>
      </c>
      <c r="LWJ97" s="975" t="s">
        <v>819</v>
      </c>
      <c r="LWK97" s="975" t="s">
        <v>819</v>
      </c>
      <c r="LWL97" s="975" t="s">
        <v>819</v>
      </c>
      <c r="LWM97" s="975" t="s">
        <v>819</v>
      </c>
      <c r="LWN97" s="975" t="s">
        <v>819</v>
      </c>
      <c r="LWO97" s="975" t="s">
        <v>819</v>
      </c>
      <c r="LWP97" s="975" t="s">
        <v>819</v>
      </c>
      <c r="LWQ97" s="975" t="s">
        <v>819</v>
      </c>
      <c r="LWR97" s="975" t="s">
        <v>819</v>
      </c>
      <c r="LWS97" s="975" t="s">
        <v>819</v>
      </c>
      <c r="LWT97" s="975" t="s">
        <v>819</v>
      </c>
      <c r="LWU97" s="975" t="s">
        <v>819</v>
      </c>
      <c r="LWV97" s="975" t="s">
        <v>819</v>
      </c>
      <c r="LWW97" s="975" t="s">
        <v>819</v>
      </c>
      <c r="LWX97" s="975" t="s">
        <v>819</v>
      </c>
      <c r="LWY97" s="975" t="s">
        <v>819</v>
      </c>
      <c r="LWZ97" s="975" t="s">
        <v>819</v>
      </c>
      <c r="LXA97" s="975" t="s">
        <v>819</v>
      </c>
      <c r="LXB97" s="975" t="s">
        <v>819</v>
      </c>
      <c r="LXC97" s="975" t="s">
        <v>819</v>
      </c>
      <c r="LXD97" s="975" t="s">
        <v>819</v>
      </c>
      <c r="LXE97" s="975" t="s">
        <v>819</v>
      </c>
      <c r="LXF97" s="975" t="s">
        <v>819</v>
      </c>
      <c r="LXG97" s="975" t="s">
        <v>819</v>
      </c>
      <c r="LXH97" s="975" t="s">
        <v>819</v>
      </c>
      <c r="LXI97" s="975" t="s">
        <v>819</v>
      </c>
      <c r="LXJ97" s="975" t="s">
        <v>819</v>
      </c>
      <c r="LXK97" s="975" t="s">
        <v>819</v>
      </c>
      <c r="LXL97" s="975" t="s">
        <v>819</v>
      </c>
      <c r="LXM97" s="975" t="s">
        <v>819</v>
      </c>
      <c r="LXN97" s="975" t="s">
        <v>819</v>
      </c>
      <c r="LXO97" s="975" t="s">
        <v>819</v>
      </c>
      <c r="LXP97" s="975" t="s">
        <v>819</v>
      </c>
      <c r="LXQ97" s="975" t="s">
        <v>819</v>
      </c>
      <c r="LXR97" s="975" t="s">
        <v>819</v>
      </c>
      <c r="LXS97" s="975" t="s">
        <v>819</v>
      </c>
      <c r="LXT97" s="975" t="s">
        <v>819</v>
      </c>
      <c r="LXU97" s="975" t="s">
        <v>819</v>
      </c>
      <c r="LXV97" s="975" t="s">
        <v>819</v>
      </c>
      <c r="LXW97" s="975" t="s">
        <v>819</v>
      </c>
      <c r="LXX97" s="975" t="s">
        <v>819</v>
      </c>
      <c r="LXY97" s="975" t="s">
        <v>819</v>
      </c>
      <c r="LXZ97" s="975" t="s">
        <v>819</v>
      </c>
      <c r="LYA97" s="975" t="s">
        <v>819</v>
      </c>
      <c r="LYB97" s="975" t="s">
        <v>819</v>
      </c>
      <c r="LYC97" s="975" t="s">
        <v>819</v>
      </c>
      <c r="LYD97" s="975" t="s">
        <v>819</v>
      </c>
      <c r="LYE97" s="975" t="s">
        <v>819</v>
      </c>
      <c r="LYF97" s="975" t="s">
        <v>819</v>
      </c>
      <c r="LYG97" s="975" t="s">
        <v>819</v>
      </c>
      <c r="LYH97" s="975" t="s">
        <v>819</v>
      </c>
      <c r="LYI97" s="975" t="s">
        <v>819</v>
      </c>
      <c r="LYJ97" s="975" t="s">
        <v>819</v>
      </c>
      <c r="LYK97" s="975" t="s">
        <v>819</v>
      </c>
      <c r="LYL97" s="975" t="s">
        <v>819</v>
      </c>
      <c r="LYM97" s="975" t="s">
        <v>819</v>
      </c>
      <c r="LYN97" s="975" t="s">
        <v>819</v>
      </c>
      <c r="LYO97" s="975" t="s">
        <v>819</v>
      </c>
      <c r="LYP97" s="975" t="s">
        <v>819</v>
      </c>
      <c r="LYQ97" s="975" t="s">
        <v>819</v>
      </c>
      <c r="LYR97" s="975" t="s">
        <v>819</v>
      </c>
      <c r="LYS97" s="975" t="s">
        <v>819</v>
      </c>
      <c r="LYT97" s="975" t="s">
        <v>819</v>
      </c>
      <c r="LYU97" s="975" t="s">
        <v>819</v>
      </c>
      <c r="LYV97" s="975" t="s">
        <v>819</v>
      </c>
      <c r="LYW97" s="975" t="s">
        <v>819</v>
      </c>
      <c r="LYX97" s="975" t="s">
        <v>819</v>
      </c>
      <c r="LYY97" s="975" t="s">
        <v>819</v>
      </c>
      <c r="LYZ97" s="975" t="s">
        <v>819</v>
      </c>
      <c r="LZA97" s="975" t="s">
        <v>819</v>
      </c>
      <c r="LZB97" s="975" t="s">
        <v>819</v>
      </c>
      <c r="LZC97" s="975" t="s">
        <v>819</v>
      </c>
      <c r="LZD97" s="975" t="s">
        <v>819</v>
      </c>
      <c r="LZE97" s="975" t="s">
        <v>819</v>
      </c>
      <c r="LZF97" s="975" t="s">
        <v>819</v>
      </c>
      <c r="LZG97" s="975" t="s">
        <v>819</v>
      </c>
      <c r="LZH97" s="975" t="s">
        <v>819</v>
      </c>
      <c r="LZI97" s="975" t="s">
        <v>819</v>
      </c>
      <c r="LZJ97" s="975" t="s">
        <v>819</v>
      </c>
      <c r="LZK97" s="975" t="s">
        <v>819</v>
      </c>
      <c r="LZL97" s="975" t="s">
        <v>819</v>
      </c>
      <c r="LZM97" s="975" t="s">
        <v>819</v>
      </c>
      <c r="LZN97" s="975" t="s">
        <v>819</v>
      </c>
      <c r="LZO97" s="975" t="s">
        <v>819</v>
      </c>
      <c r="LZP97" s="975" t="s">
        <v>819</v>
      </c>
      <c r="LZQ97" s="975" t="s">
        <v>819</v>
      </c>
      <c r="LZR97" s="975" t="s">
        <v>819</v>
      </c>
      <c r="LZS97" s="975" t="s">
        <v>819</v>
      </c>
      <c r="LZT97" s="975" t="s">
        <v>819</v>
      </c>
      <c r="LZU97" s="975" t="s">
        <v>819</v>
      </c>
      <c r="LZV97" s="975" t="s">
        <v>819</v>
      </c>
      <c r="LZW97" s="975" t="s">
        <v>819</v>
      </c>
      <c r="LZX97" s="975" t="s">
        <v>819</v>
      </c>
      <c r="LZY97" s="975" t="s">
        <v>819</v>
      </c>
      <c r="LZZ97" s="975" t="s">
        <v>819</v>
      </c>
      <c r="MAA97" s="975" t="s">
        <v>819</v>
      </c>
      <c r="MAB97" s="975" t="s">
        <v>819</v>
      </c>
      <c r="MAC97" s="975" t="s">
        <v>819</v>
      </c>
      <c r="MAD97" s="975" t="s">
        <v>819</v>
      </c>
      <c r="MAE97" s="975" t="s">
        <v>819</v>
      </c>
      <c r="MAF97" s="975" t="s">
        <v>819</v>
      </c>
      <c r="MAG97" s="975" t="s">
        <v>819</v>
      </c>
      <c r="MAH97" s="975" t="s">
        <v>819</v>
      </c>
      <c r="MAI97" s="975" t="s">
        <v>819</v>
      </c>
      <c r="MAJ97" s="975" t="s">
        <v>819</v>
      </c>
      <c r="MAK97" s="975" t="s">
        <v>819</v>
      </c>
      <c r="MAL97" s="975" t="s">
        <v>819</v>
      </c>
      <c r="MAM97" s="975" t="s">
        <v>819</v>
      </c>
      <c r="MAN97" s="975" t="s">
        <v>819</v>
      </c>
      <c r="MAO97" s="975" t="s">
        <v>819</v>
      </c>
      <c r="MAP97" s="975" t="s">
        <v>819</v>
      </c>
      <c r="MAQ97" s="975" t="s">
        <v>819</v>
      </c>
      <c r="MAR97" s="975" t="s">
        <v>819</v>
      </c>
      <c r="MAS97" s="975" t="s">
        <v>819</v>
      </c>
      <c r="MAT97" s="975" t="s">
        <v>819</v>
      </c>
      <c r="MAU97" s="975" t="s">
        <v>819</v>
      </c>
      <c r="MAV97" s="975" t="s">
        <v>819</v>
      </c>
      <c r="MAW97" s="975" t="s">
        <v>819</v>
      </c>
      <c r="MAX97" s="975" t="s">
        <v>819</v>
      </c>
      <c r="MAY97" s="975" t="s">
        <v>819</v>
      </c>
      <c r="MAZ97" s="975" t="s">
        <v>819</v>
      </c>
      <c r="MBA97" s="975" t="s">
        <v>819</v>
      </c>
      <c r="MBB97" s="975" t="s">
        <v>819</v>
      </c>
      <c r="MBC97" s="975" t="s">
        <v>819</v>
      </c>
      <c r="MBD97" s="975" t="s">
        <v>819</v>
      </c>
      <c r="MBE97" s="975" t="s">
        <v>819</v>
      </c>
      <c r="MBF97" s="975" t="s">
        <v>819</v>
      </c>
      <c r="MBG97" s="975" t="s">
        <v>819</v>
      </c>
      <c r="MBH97" s="975" t="s">
        <v>819</v>
      </c>
      <c r="MBI97" s="975" t="s">
        <v>819</v>
      </c>
      <c r="MBJ97" s="975" t="s">
        <v>819</v>
      </c>
      <c r="MBK97" s="975" t="s">
        <v>819</v>
      </c>
      <c r="MBL97" s="975" t="s">
        <v>819</v>
      </c>
      <c r="MBM97" s="975" t="s">
        <v>819</v>
      </c>
      <c r="MBN97" s="975" t="s">
        <v>819</v>
      </c>
      <c r="MBO97" s="975" t="s">
        <v>819</v>
      </c>
      <c r="MBP97" s="975" t="s">
        <v>819</v>
      </c>
      <c r="MBQ97" s="975" t="s">
        <v>819</v>
      </c>
      <c r="MBR97" s="975" t="s">
        <v>819</v>
      </c>
      <c r="MBS97" s="975" t="s">
        <v>819</v>
      </c>
      <c r="MBT97" s="975" t="s">
        <v>819</v>
      </c>
      <c r="MBU97" s="975" t="s">
        <v>819</v>
      </c>
      <c r="MBV97" s="975" t="s">
        <v>819</v>
      </c>
      <c r="MBW97" s="975" t="s">
        <v>819</v>
      </c>
      <c r="MBX97" s="975" t="s">
        <v>819</v>
      </c>
      <c r="MBY97" s="975" t="s">
        <v>819</v>
      </c>
      <c r="MBZ97" s="975" t="s">
        <v>819</v>
      </c>
      <c r="MCA97" s="975" t="s">
        <v>819</v>
      </c>
      <c r="MCB97" s="975" t="s">
        <v>819</v>
      </c>
      <c r="MCC97" s="975" t="s">
        <v>819</v>
      </c>
      <c r="MCD97" s="975" t="s">
        <v>819</v>
      </c>
      <c r="MCE97" s="975" t="s">
        <v>819</v>
      </c>
      <c r="MCF97" s="975" t="s">
        <v>819</v>
      </c>
      <c r="MCG97" s="975" t="s">
        <v>819</v>
      </c>
      <c r="MCH97" s="975" t="s">
        <v>819</v>
      </c>
      <c r="MCI97" s="975" t="s">
        <v>819</v>
      </c>
      <c r="MCJ97" s="975" t="s">
        <v>819</v>
      </c>
      <c r="MCK97" s="975" t="s">
        <v>819</v>
      </c>
      <c r="MCL97" s="975" t="s">
        <v>819</v>
      </c>
      <c r="MCM97" s="975" t="s">
        <v>819</v>
      </c>
      <c r="MCN97" s="975" t="s">
        <v>819</v>
      </c>
      <c r="MCO97" s="975" t="s">
        <v>819</v>
      </c>
      <c r="MCP97" s="975" t="s">
        <v>819</v>
      </c>
      <c r="MCQ97" s="975" t="s">
        <v>819</v>
      </c>
      <c r="MCR97" s="975" t="s">
        <v>819</v>
      </c>
      <c r="MCS97" s="975" t="s">
        <v>819</v>
      </c>
      <c r="MCT97" s="975" t="s">
        <v>819</v>
      </c>
      <c r="MCU97" s="975" t="s">
        <v>819</v>
      </c>
      <c r="MCV97" s="975" t="s">
        <v>819</v>
      </c>
      <c r="MCW97" s="975" t="s">
        <v>819</v>
      </c>
      <c r="MCX97" s="975" t="s">
        <v>819</v>
      </c>
      <c r="MCY97" s="975" t="s">
        <v>819</v>
      </c>
      <c r="MCZ97" s="975" t="s">
        <v>819</v>
      </c>
      <c r="MDA97" s="975" t="s">
        <v>819</v>
      </c>
      <c r="MDB97" s="975" t="s">
        <v>819</v>
      </c>
      <c r="MDC97" s="975" t="s">
        <v>819</v>
      </c>
      <c r="MDD97" s="975" t="s">
        <v>819</v>
      </c>
      <c r="MDE97" s="975" t="s">
        <v>819</v>
      </c>
      <c r="MDF97" s="975" t="s">
        <v>819</v>
      </c>
      <c r="MDG97" s="975" t="s">
        <v>819</v>
      </c>
      <c r="MDH97" s="975" t="s">
        <v>819</v>
      </c>
      <c r="MDI97" s="975" t="s">
        <v>819</v>
      </c>
      <c r="MDJ97" s="975" t="s">
        <v>819</v>
      </c>
      <c r="MDK97" s="975" t="s">
        <v>819</v>
      </c>
      <c r="MDL97" s="975" t="s">
        <v>819</v>
      </c>
      <c r="MDM97" s="975" t="s">
        <v>819</v>
      </c>
      <c r="MDN97" s="975" t="s">
        <v>819</v>
      </c>
      <c r="MDO97" s="975" t="s">
        <v>819</v>
      </c>
      <c r="MDP97" s="975" t="s">
        <v>819</v>
      </c>
      <c r="MDQ97" s="975" t="s">
        <v>819</v>
      </c>
      <c r="MDR97" s="975" t="s">
        <v>819</v>
      </c>
      <c r="MDS97" s="975" t="s">
        <v>819</v>
      </c>
      <c r="MDT97" s="975" t="s">
        <v>819</v>
      </c>
      <c r="MDU97" s="975" t="s">
        <v>819</v>
      </c>
      <c r="MDV97" s="975" t="s">
        <v>819</v>
      </c>
      <c r="MDW97" s="975" t="s">
        <v>819</v>
      </c>
      <c r="MDX97" s="975" t="s">
        <v>819</v>
      </c>
      <c r="MDY97" s="975" t="s">
        <v>819</v>
      </c>
      <c r="MDZ97" s="975" t="s">
        <v>819</v>
      </c>
      <c r="MEA97" s="975" t="s">
        <v>819</v>
      </c>
      <c r="MEB97" s="975" t="s">
        <v>819</v>
      </c>
      <c r="MEC97" s="975" t="s">
        <v>819</v>
      </c>
      <c r="MED97" s="975" t="s">
        <v>819</v>
      </c>
      <c r="MEE97" s="975" t="s">
        <v>819</v>
      </c>
      <c r="MEF97" s="975" t="s">
        <v>819</v>
      </c>
      <c r="MEG97" s="975" t="s">
        <v>819</v>
      </c>
      <c r="MEH97" s="975" t="s">
        <v>819</v>
      </c>
      <c r="MEI97" s="975" t="s">
        <v>819</v>
      </c>
      <c r="MEJ97" s="975" t="s">
        <v>819</v>
      </c>
      <c r="MEK97" s="975" t="s">
        <v>819</v>
      </c>
      <c r="MEL97" s="975" t="s">
        <v>819</v>
      </c>
      <c r="MEM97" s="975" t="s">
        <v>819</v>
      </c>
      <c r="MEN97" s="975" t="s">
        <v>819</v>
      </c>
      <c r="MEO97" s="975" t="s">
        <v>819</v>
      </c>
      <c r="MEP97" s="975" t="s">
        <v>819</v>
      </c>
      <c r="MEQ97" s="975" t="s">
        <v>819</v>
      </c>
      <c r="MER97" s="975" t="s">
        <v>819</v>
      </c>
      <c r="MES97" s="975" t="s">
        <v>819</v>
      </c>
      <c r="MET97" s="975" t="s">
        <v>819</v>
      </c>
      <c r="MEU97" s="975" t="s">
        <v>819</v>
      </c>
      <c r="MEV97" s="975" t="s">
        <v>819</v>
      </c>
      <c r="MEW97" s="975" t="s">
        <v>819</v>
      </c>
      <c r="MEX97" s="975" t="s">
        <v>819</v>
      </c>
      <c r="MEY97" s="975" t="s">
        <v>819</v>
      </c>
      <c r="MEZ97" s="975" t="s">
        <v>819</v>
      </c>
      <c r="MFA97" s="975" t="s">
        <v>819</v>
      </c>
      <c r="MFB97" s="975" t="s">
        <v>819</v>
      </c>
      <c r="MFC97" s="975" t="s">
        <v>819</v>
      </c>
      <c r="MFD97" s="975" t="s">
        <v>819</v>
      </c>
      <c r="MFE97" s="975" t="s">
        <v>819</v>
      </c>
      <c r="MFF97" s="975" t="s">
        <v>819</v>
      </c>
      <c r="MFG97" s="975" t="s">
        <v>819</v>
      </c>
      <c r="MFH97" s="975" t="s">
        <v>819</v>
      </c>
      <c r="MFI97" s="975" t="s">
        <v>819</v>
      </c>
      <c r="MFJ97" s="975" t="s">
        <v>819</v>
      </c>
      <c r="MFK97" s="975" t="s">
        <v>819</v>
      </c>
      <c r="MFL97" s="975" t="s">
        <v>819</v>
      </c>
      <c r="MFM97" s="975" t="s">
        <v>819</v>
      </c>
      <c r="MFN97" s="975" t="s">
        <v>819</v>
      </c>
      <c r="MFO97" s="975" t="s">
        <v>819</v>
      </c>
      <c r="MFP97" s="975" t="s">
        <v>819</v>
      </c>
      <c r="MFQ97" s="975" t="s">
        <v>819</v>
      </c>
      <c r="MFR97" s="975" t="s">
        <v>819</v>
      </c>
      <c r="MFS97" s="975" t="s">
        <v>819</v>
      </c>
      <c r="MFT97" s="975" t="s">
        <v>819</v>
      </c>
      <c r="MFU97" s="975" t="s">
        <v>819</v>
      </c>
      <c r="MFV97" s="975" t="s">
        <v>819</v>
      </c>
      <c r="MFW97" s="975" t="s">
        <v>819</v>
      </c>
      <c r="MFX97" s="975" t="s">
        <v>819</v>
      </c>
      <c r="MFY97" s="975" t="s">
        <v>819</v>
      </c>
      <c r="MFZ97" s="975" t="s">
        <v>819</v>
      </c>
      <c r="MGA97" s="975" t="s">
        <v>819</v>
      </c>
      <c r="MGB97" s="975" t="s">
        <v>819</v>
      </c>
      <c r="MGC97" s="975" t="s">
        <v>819</v>
      </c>
      <c r="MGD97" s="975" t="s">
        <v>819</v>
      </c>
      <c r="MGE97" s="975" t="s">
        <v>819</v>
      </c>
      <c r="MGF97" s="975" t="s">
        <v>819</v>
      </c>
      <c r="MGG97" s="975" t="s">
        <v>819</v>
      </c>
      <c r="MGH97" s="975" t="s">
        <v>819</v>
      </c>
      <c r="MGI97" s="975" t="s">
        <v>819</v>
      </c>
      <c r="MGJ97" s="975" t="s">
        <v>819</v>
      </c>
      <c r="MGK97" s="975" t="s">
        <v>819</v>
      </c>
      <c r="MGL97" s="975" t="s">
        <v>819</v>
      </c>
      <c r="MGM97" s="975" t="s">
        <v>819</v>
      </c>
      <c r="MGN97" s="975" t="s">
        <v>819</v>
      </c>
      <c r="MGO97" s="975" t="s">
        <v>819</v>
      </c>
      <c r="MGP97" s="975" t="s">
        <v>819</v>
      </c>
      <c r="MGQ97" s="975" t="s">
        <v>819</v>
      </c>
      <c r="MGR97" s="975" t="s">
        <v>819</v>
      </c>
      <c r="MGS97" s="975" t="s">
        <v>819</v>
      </c>
      <c r="MGT97" s="975" t="s">
        <v>819</v>
      </c>
      <c r="MGU97" s="975" t="s">
        <v>819</v>
      </c>
      <c r="MGV97" s="975" t="s">
        <v>819</v>
      </c>
      <c r="MGW97" s="975" t="s">
        <v>819</v>
      </c>
      <c r="MGX97" s="975" t="s">
        <v>819</v>
      </c>
      <c r="MGY97" s="975" t="s">
        <v>819</v>
      </c>
      <c r="MGZ97" s="975" t="s">
        <v>819</v>
      </c>
      <c r="MHA97" s="975" t="s">
        <v>819</v>
      </c>
      <c r="MHB97" s="975" t="s">
        <v>819</v>
      </c>
      <c r="MHC97" s="975" t="s">
        <v>819</v>
      </c>
      <c r="MHD97" s="975" t="s">
        <v>819</v>
      </c>
      <c r="MHE97" s="975" t="s">
        <v>819</v>
      </c>
      <c r="MHF97" s="975" t="s">
        <v>819</v>
      </c>
      <c r="MHG97" s="975" t="s">
        <v>819</v>
      </c>
      <c r="MHH97" s="975" t="s">
        <v>819</v>
      </c>
      <c r="MHI97" s="975" t="s">
        <v>819</v>
      </c>
      <c r="MHJ97" s="975" t="s">
        <v>819</v>
      </c>
      <c r="MHK97" s="975" t="s">
        <v>819</v>
      </c>
      <c r="MHL97" s="975" t="s">
        <v>819</v>
      </c>
      <c r="MHM97" s="975" t="s">
        <v>819</v>
      </c>
      <c r="MHN97" s="975" t="s">
        <v>819</v>
      </c>
      <c r="MHO97" s="975" t="s">
        <v>819</v>
      </c>
      <c r="MHP97" s="975" t="s">
        <v>819</v>
      </c>
      <c r="MHQ97" s="975" t="s">
        <v>819</v>
      </c>
      <c r="MHR97" s="975" t="s">
        <v>819</v>
      </c>
      <c r="MHS97" s="975" t="s">
        <v>819</v>
      </c>
      <c r="MHT97" s="975" t="s">
        <v>819</v>
      </c>
      <c r="MHU97" s="975" t="s">
        <v>819</v>
      </c>
      <c r="MHV97" s="975" t="s">
        <v>819</v>
      </c>
      <c r="MHW97" s="975" t="s">
        <v>819</v>
      </c>
      <c r="MHX97" s="975" t="s">
        <v>819</v>
      </c>
      <c r="MHY97" s="975" t="s">
        <v>819</v>
      </c>
      <c r="MHZ97" s="975" t="s">
        <v>819</v>
      </c>
      <c r="MIA97" s="975" t="s">
        <v>819</v>
      </c>
      <c r="MIB97" s="975" t="s">
        <v>819</v>
      </c>
      <c r="MIC97" s="975" t="s">
        <v>819</v>
      </c>
      <c r="MID97" s="975" t="s">
        <v>819</v>
      </c>
      <c r="MIE97" s="975" t="s">
        <v>819</v>
      </c>
      <c r="MIF97" s="975" t="s">
        <v>819</v>
      </c>
      <c r="MIG97" s="975" t="s">
        <v>819</v>
      </c>
      <c r="MIH97" s="975" t="s">
        <v>819</v>
      </c>
      <c r="MII97" s="975" t="s">
        <v>819</v>
      </c>
      <c r="MIJ97" s="975" t="s">
        <v>819</v>
      </c>
      <c r="MIK97" s="975" t="s">
        <v>819</v>
      </c>
      <c r="MIL97" s="975" t="s">
        <v>819</v>
      </c>
      <c r="MIM97" s="975" t="s">
        <v>819</v>
      </c>
      <c r="MIN97" s="975" t="s">
        <v>819</v>
      </c>
      <c r="MIO97" s="975" t="s">
        <v>819</v>
      </c>
      <c r="MIP97" s="975" t="s">
        <v>819</v>
      </c>
      <c r="MIQ97" s="975" t="s">
        <v>819</v>
      </c>
      <c r="MIR97" s="975" t="s">
        <v>819</v>
      </c>
      <c r="MIS97" s="975" t="s">
        <v>819</v>
      </c>
      <c r="MIT97" s="975" t="s">
        <v>819</v>
      </c>
      <c r="MIU97" s="975" t="s">
        <v>819</v>
      </c>
      <c r="MIV97" s="975" t="s">
        <v>819</v>
      </c>
      <c r="MIW97" s="975" t="s">
        <v>819</v>
      </c>
      <c r="MIX97" s="975" t="s">
        <v>819</v>
      </c>
      <c r="MIY97" s="975" t="s">
        <v>819</v>
      </c>
      <c r="MIZ97" s="975" t="s">
        <v>819</v>
      </c>
      <c r="MJA97" s="975" t="s">
        <v>819</v>
      </c>
      <c r="MJB97" s="975" t="s">
        <v>819</v>
      </c>
      <c r="MJC97" s="975" t="s">
        <v>819</v>
      </c>
      <c r="MJD97" s="975" t="s">
        <v>819</v>
      </c>
      <c r="MJE97" s="975" t="s">
        <v>819</v>
      </c>
      <c r="MJF97" s="975" t="s">
        <v>819</v>
      </c>
      <c r="MJG97" s="975" t="s">
        <v>819</v>
      </c>
      <c r="MJH97" s="975" t="s">
        <v>819</v>
      </c>
      <c r="MJI97" s="975" t="s">
        <v>819</v>
      </c>
      <c r="MJJ97" s="975" t="s">
        <v>819</v>
      </c>
      <c r="MJK97" s="975" t="s">
        <v>819</v>
      </c>
      <c r="MJL97" s="975" t="s">
        <v>819</v>
      </c>
      <c r="MJM97" s="975" t="s">
        <v>819</v>
      </c>
      <c r="MJN97" s="975" t="s">
        <v>819</v>
      </c>
      <c r="MJO97" s="975" t="s">
        <v>819</v>
      </c>
      <c r="MJP97" s="975" t="s">
        <v>819</v>
      </c>
      <c r="MJQ97" s="975" t="s">
        <v>819</v>
      </c>
      <c r="MJR97" s="975" t="s">
        <v>819</v>
      </c>
      <c r="MJS97" s="975" t="s">
        <v>819</v>
      </c>
      <c r="MJT97" s="975" t="s">
        <v>819</v>
      </c>
      <c r="MJU97" s="975" t="s">
        <v>819</v>
      </c>
      <c r="MJV97" s="975" t="s">
        <v>819</v>
      </c>
      <c r="MJW97" s="975" t="s">
        <v>819</v>
      </c>
      <c r="MJX97" s="975" t="s">
        <v>819</v>
      </c>
      <c r="MJY97" s="975" t="s">
        <v>819</v>
      </c>
      <c r="MJZ97" s="975" t="s">
        <v>819</v>
      </c>
      <c r="MKA97" s="975" t="s">
        <v>819</v>
      </c>
      <c r="MKB97" s="975" t="s">
        <v>819</v>
      </c>
      <c r="MKC97" s="975" t="s">
        <v>819</v>
      </c>
      <c r="MKD97" s="975" t="s">
        <v>819</v>
      </c>
      <c r="MKE97" s="975" t="s">
        <v>819</v>
      </c>
      <c r="MKF97" s="975" t="s">
        <v>819</v>
      </c>
      <c r="MKG97" s="975" t="s">
        <v>819</v>
      </c>
      <c r="MKH97" s="975" t="s">
        <v>819</v>
      </c>
      <c r="MKI97" s="975" t="s">
        <v>819</v>
      </c>
      <c r="MKJ97" s="975" t="s">
        <v>819</v>
      </c>
      <c r="MKK97" s="975" t="s">
        <v>819</v>
      </c>
      <c r="MKL97" s="975" t="s">
        <v>819</v>
      </c>
      <c r="MKM97" s="975" t="s">
        <v>819</v>
      </c>
      <c r="MKN97" s="975" t="s">
        <v>819</v>
      </c>
      <c r="MKO97" s="975" t="s">
        <v>819</v>
      </c>
      <c r="MKP97" s="975" t="s">
        <v>819</v>
      </c>
      <c r="MKQ97" s="975" t="s">
        <v>819</v>
      </c>
      <c r="MKR97" s="975" t="s">
        <v>819</v>
      </c>
      <c r="MKS97" s="975" t="s">
        <v>819</v>
      </c>
      <c r="MKT97" s="975" t="s">
        <v>819</v>
      </c>
      <c r="MKU97" s="975" t="s">
        <v>819</v>
      </c>
      <c r="MKV97" s="975" t="s">
        <v>819</v>
      </c>
      <c r="MKW97" s="975" t="s">
        <v>819</v>
      </c>
      <c r="MKX97" s="975" t="s">
        <v>819</v>
      </c>
      <c r="MKY97" s="975" t="s">
        <v>819</v>
      </c>
      <c r="MKZ97" s="975" t="s">
        <v>819</v>
      </c>
      <c r="MLA97" s="975" t="s">
        <v>819</v>
      </c>
      <c r="MLB97" s="975" t="s">
        <v>819</v>
      </c>
      <c r="MLC97" s="975" t="s">
        <v>819</v>
      </c>
      <c r="MLD97" s="975" t="s">
        <v>819</v>
      </c>
      <c r="MLE97" s="975" t="s">
        <v>819</v>
      </c>
      <c r="MLF97" s="975" t="s">
        <v>819</v>
      </c>
      <c r="MLG97" s="975" t="s">
        <v>819</v>
      </c>
      <c r="MLH97" s="975" t="s">
        <v>819</v>
      </c>
      <c r="MLI97" s="975" t="s">
        <v>819</v>
      </c>
      <c r="MLJ97" s="975" t="s">
        <v>819</v>
      </c>
      <c r="MLK97" s="975" t="s">
        <v>819</v>
      </c>
      <c r="MLL97" s="975" t="s">
        <v>819</v>
      </c>
      <c r="MLM97" s="975" t="s">
        <v>819</v>
      </c>
      <c r="MLN97" s="975" t="s">
        <v>819</v>
      </c>
      <c r="MLO97" s="975" t="s">
        <v>819</v>
      </c>
      <c r="MLP97" s="975" t="s">
        <v>819</v>
      </c>
      <c r="MLQ97" s="975" t="s">
        <v>819</v>
      </c>
      <c r="MLR97" s="975" t="s">
        <v>819</v>
      </c>
      <c r="MLS97" s="975" t="s">
        <v>819</v>
      </c>
      <c r="MLT97" s="975" t="s">
        <v>819</v>
      </c>
      <c r="MLU97" s="975" t="s">
        <v>819</v>
      </c>
      <c r="MLV97" s="975" t="s">
        <v>819</v>
      </c>
      <c r="MLW97" s="975" t="s">
        <v>819</v>
      </c>
      <c r="MLX97" s="975" t="s">
        <v>819</v>
      </c>
      <c r="MLY97" s="975" t="s">
        <v>819</v>
      </c>
      <c r="MLZ97" s="975" t="s">
        <v>819</v>
      </c>
      <c r="MMA97" s="975" t="s">
        <v>819</v>
      </c>
      <c r="MMB97" s="975" t="s">
        <v>819</v>
      </c>
      <c r="MMC97" s="975" t="s">
        <v>819</v>
      </c>
      <c r="MMD97" s="975" t="s">
        <v>819</v>
      </c>
      <c r="MME97" s="975" t="s">
        <v>819</v>
      </c>
      <c r="MMF97" s="975" t="s">
        <v>819</v>
      </c>
      <c r="MMG97" s="975" t="s">
        <v>819</v>
      </c>
      <c r="MMH97" s="975" t="s">
        <v>819</v>
      </c>
      <c r="MMI97" s="975" t="s">
        <v>819</v>
      </c>
      <c r="MMJ97" s="975" t="s">
        <v>819</v>
      </c>
      <c r="MMK97" s="975" t="s">
        <v>819</v>
      </c>
      <c r="MML97" s="975" t="s">
        <v>819</v>
      </c>
      <c r="MMM97" s="975" t="s">
        <v>819</v>
      </c>
      <c r="MMN97" s="975" t="s">
        <v>819</v>
      </c>
      <c r="MMO97" s="975" t="s">
        <v>819</v>
      </c>
      <c r="MMP97" s="975" t="s">
        <v>819</v>
      </c>
      <c r="MMQ97" s="975" t="s">
        <v>819</v>
      </c>
      <c r="MMR97" s="975" t="s">
        <v>819</v>
      </c>
      <c r="MMS97" s="975" t="s">
        <v>819</v>
      </c>
      <c r="MMT97" s="975" t="s">
        <v>819</v>
      </c>
      <c r="MMU97" s="975" t="s">
        <v>819</v>
      </c>
      <c r="MMV97" s="975" t="s">
        <v>819</v>
      </c>
      <c r="MMW97" s="975" t="s">
        <v>819</v>
      </c>
      <c r="MMX97" s="975" t="s">
        <v>819</v>
      </c>
      <c r="MMY97" s="975" t="s">
        <v>819</v>
      </c>
      <c r="MMZ97" s="975" t="s">
        <v>819</v>
      </c>
      <c r="MNA97" s="975" t="s">
        <v>819</v>
      </c>
      <c r="MNB97" s="975" t="s">
        <v>819</v>
      </c>
      <c r="MNC97" s="975" t="s">
        <v>819</v>
      </c>
      <c r="MND97" s="975" t="s">
        <v>819</v>
      </c>
      <c r="MNE97" s="975" t="s">
        <v>819</v>
      </c>
      <c r="MNF97" s="975" t="s">
        <v>819</v>
      </c>
      <c r="MNG97" s="975" t="s">
        <v>819</v>
      </c>
      <c r="MNH97" s="975" t="s">
        <v>819</v>
      </c>
      <c r="MNI97" s="975" t="s">
        <v>819</v>
      </c>
      <c r="MNJ97" s="975" t="s">
        <v>819</v>
      </c>
      <c r="MNK97" s="975" t="s">
        <v>819</v>
      </c>
      <c r="MNL97" s="975" t="s">
        <v>819</v>
      </c>
      <c r="MNM97" s="975" t="s">
        <v>819</v>
      </c>
      <c r="MNN97" s="975" t="s">
        <v>819</v>
      </c>
      <c r="MNO97" s="975" t="s">
        <v>819</v>
      </c>
      <c r="MNP97" s="975" t="s">
        <v>819</v>
      </c>
      <c r="MNQ97" s="975" t="s">
        <v>819</v>
      </c>
      <c r="MNR97" s="975" t="s">
        <v>819</v>
      </c>
      <c r="MNS97" s="975" t="s">
        <v>819</v>
      </c>
      <c r="MNT97" s="975" t="s">
        <v>819</v>
      </c>
      <c r="MNU97" s="975" t="s">
        <v>819</v>
      </c>
      <c r="MNV97" s="975" t="s">
        <v>819</v>
      </c>
      <c r="MNW97" s="975" t="s">
        <v>819</v>
      </c>
      <c r="MNX97" s="975" t="s">
        <v>819</v>
      </c>
      <c r="MNY97" s="975" t="s">
        <v>819</v>
      </c>
      <c r="MNZ97" s="975" t="s">
        <v>819</v>
      </c>
      <c r="MOA97" s="975" t="s">
        <v>819</v>
      </c>
      <c r="MOB97" s="975" t="s">
        <v>819</v>
      </c>
      <c r="MOC97" s="975" t="s">
        <v>819</v>
      </c>
      <c r="MOD97" s="975" t="s">
        <v>819</v>
      </c>
      <c r="MOE97" s="975" t="s">
        <v>819</v>
      </c>
      <c r="MOF97" s="975" t="s">
        <v>819</v>
      </c>
      <c r="MOG97" s="975" t="s">
        <v>819</v>
      </c>
      <c r="MOH97" s="975" t="s">
        <v>819</v>
      </c>
      <c r="MOI97" s="975" t="s">
        <v>819</v>
      </c>
      <c r="MOJ97" s="975" t="s">
        <v>819</v>
      </c>
      <c r="MOK97" s="975" t="s">
        <v>819</v>
      </c>
      <c r="MOL97" s="975" t="s">
        <v>819</v>
      </c>
      <c r="MOM97" s="975" t="s">
        <v>819</v>
      </c>
      <c r="MON97" s="975" t="s">
        <v>819</v>
      </c>
      <c r="MOO97" s="975" t="s">
        <v>819</v>
      </c>
      <c r="MOP97" s="975" t="s">
        <v>819</v>
      </c>
      <c r="MOQ97" s="975" t="s">
        <v>819</v>
      </c>
      <c r="MOR97" s="975" t="s">
        <v>819</v>
      </c>
      <c r="MOS97" s="975" t="s">
        <v>819</v>
      </c>
      <c r="MOT97" s="975" t="s">
        <v>819</v>
      </c>
      <c r="MOU97" s="975" t="s">
        <v>819</v>
      </c>
      <c r="MOV97" s="975" t="s">
        <v>819</v>
      </c>
      <c r="MOW97" s="975" t="s">
        <v>819</v>
      </c>
      <c r="MOX97" s="975" t="s">
        <v>819</v>
      </c>
      <c r="MOY97" s="975" t="s">
        <v>819</v>
      </c>
      <c r="MOZ97" s="975" t="s">
        <v>819</v>
      </c>
      <c r="MPA97" s="975" t="s">
        <v>819</v>
      </c>
      <c r="MPB97" s="975" t="s">
        <v>819</v>
      </c>
      <c r="MPC97" s="975" t="s">
        <v>819</v>
      </c>
      <c r="MPD97" s="975" t="s">
        <v>819</v>
      </c>
      <c r="MPE97" s="975" t="s">
        <v>819</v>
      </c>
      <c r="MPF97" s="975" t="s">
        <v>819</v>
      </c>
      <c r="MPG97" s="975" t="s">
        <v>819</v>
      </c>
      <c r="MPH97" s="975" t="s">
        <v>819</v>
      </c>
      <c r="MPI97" s="975" t="s">
        <v>819</v>
      </c>
      <c r="MPJ97" s="975" t="s">
        <v>819</v>
      </c>
      <c r="MPK97" s="975" t="s">
        <v>819</v>
      </c>
      <c r="MPL97" s="975" t="s">
        <v>819</v>
      </c>
      <c r="MPM97" s="975" t="s">
        <v>819</v>
      </c>
      <c r="MPN97" s="975" t="s">
        <v>819</v>
      </c>
      <c r="MPO97" s="975" t="s">
        <v>819</v>
      </c>
      <c r="MPP97" s="975" t="s">
        <v>819</v>
      </c>
      <c r="MPQ97" s="975" t="s">
        <v>819</v>
      </c>
      <c r="MPR97" s="975" t="s">
        <v>819</v>
      </c>
      <c r="MPS97" s="975" t="s">
        <v>819</v>
      </c>
      <c r="MPT97" s="975" t="s">
        <v>819</v>
      </c>
      <c r="MPU97" s="975" t="s">
        <v>819</v>
      </c>
      <c r="MPV97" s="975" t="s">
        <v>819</v>
      </c>
      <c r="MPW97" s="975" t="s">
        <v>819</v>
      </c>
      <c r="MPX97" s="975" t="s">
        <v>819</v>
      </c>
      <c r="MPY97" s="975" t="s">
        <v>819</v>
      </c>
      <c r="MPZ97" s="975" t="s">
        <v>819</v>
      </c>
      <c r="MQA97" s="975" t="s">
        <v>819</v>
      </c>
      <c r="MQB97" s="975" t="s">
        <v>819</v>
      </c>
      <c r="MQC97" s="975" t="s">
        <v>819</v>
      </c>
      <c r="MQD97" s="975" t="s">
        <v>819</v>
      </c>
      <c r="MQE97" s="975" t="s">
        <v>819</v>
      </c>
      <c r="MQF97" s="975" t="s">
        <v>819</v>
      </c>
      <c r="MQG97" s="975" t="s">
        <v>819</v>
      </c>
      <c r="MQH97" s="975" t="s">
        <v>819</v>
      </c>
      <c r="MQI97" s="975" t="s">
        <v>819</v>
      </c>
      <c r="MQJ97" s="975" t="s">
        <v>819</v>
      </c>
      <c r="MQK97" s="975" t="s">
        <v>819</v>
      </c>
      <c r="MQL97" s="975" t="s">
        <v>819</v>
      </c>
      <c r="MQM97" s="975" t="s">
        <v>819</v>
      </c>
      <c r="MQN97" s="975" t="s">
        <v>819</v>
      </c>
      <c r="MQO97" s="975" t="s">
        <v>819</v>
      </c>
      <c r="MQP97" s="975" t="s">
        <v>819</v>
      </c>
      <c r="MQQ97" s="975" t="s">
        <v>819</v>
      </c>
      <c r="MQR97" s="975" t="s">
        <v>819</v>
      </c>
      <c r="MQS97" s="975" t="s">
        <v>819</v>
      </c>
      <c r="MQT97" s="975" t="s">
        <v>819</v>
      </c>
      <c r="MQU97" s="975" t="s">
        <v>819</v>
      </c>
      <c r="MQV97" s="975" t="s">
        <v>819</v>
      </c>
      <c r="MQW97" s="975" t="s">
        <v>819</v>
      </c>
      <c r="MQX97" s="975" t="s">
        <v>819</v>
      </c>
      <c r="MQY97" s="975" t="s">
        <v>819</v>
      </c>
      <c r="MQZ97" s="975" t="s">
        <v>819</v>
      </c>
      <c r="MRA97" s="975" t="s">
        <v>819</v>
      </c>
      <c r="MRB97" s="975" t="s">
        <v>819</v>
      </c>
      <c r="MRC97" s="975" t="s">
        <v>819</v>
      </c>
      <c r="MRD97" s="975" t="s">
        <v>819</v>
      </c>
      <c r="MRE97" s="975" t="s">
        <v>819</v>
      </c>
      <c r="MRF97" s="975" t="s">
        <v>819</v>
      </c>
      <c r="MRG97" s="975" t="s">
        <v>819</v>
      </c>
      <c r="MRH97" s="975" t="s">
        <v>819</v>
      </c>
      <c r="MRI97" s="975" t="s">
        <v>819</v>
      </c>
      <c r="MRJ97" s="975" t="s">
        <v>819</v>
      </c>
      <c r="MRK97" s="975" t="s">
        <v>819</v>
      </c>
      <c r="MRL97" s="975" t="s">
        <v>819</v>
      </c>
      <c r="MRM97" s="975" t="s">
        <v>819</v>
      </c>
      <c r="MRN97" s="975" t="s">
        <v>819</v>
      </c>
      <c r="MRO97" s="975" t="s">
        <v>819</v>
      </c>
      <c r="MRP97" s="975" t="s">
        <v>819</v>
      </c>
      <c r="MRQ97" s="975" t="s">
        <v>819</v>
      </c>
      <c r="MRR97" s="975" t="s">
        <v>819</v>
      </c>
      <c r="MRS97" s="975" t="s">
        <v>819</v>
      </c>
      <c r="MRT97" s="975" t="s">
        <v>819</v>
      </c>
      <c r="MRU97" s="975" t="s">
        <v>819</v>
      </c>
      <c r="MRV97" s="975" t="s">
        <v>819</v>
      </c>
      <c r="MRW97" s="975" t="s">
        <v>819</v>
      </c>
      <c r="MRX97" s="975" t="s">
        <v>819</v>
      </c>
      <c r="MRY97" s="975" t="s">
        <v>819</v>
      </c>
      <c r="MRZ97" s="975" t="s">
        <v>819</v>
      </c>
      <c r="MSA97" s="975" t="s">
        <v>819</v>
      </c>
      <c r="MSB97" s="975" t="s">
        <v>819</v>
      </c>
      <c r="MSC97" s="975" t="s">
        <v>819</v>
      </c>
      <c r="MSD97" s="975" t="s">
        <v>819</v>
      </c>
      <c r="MSE97" s="975" t="s">
        <v>819</v>
      </c>
      <c r="MSF97" s="975" t="s">
        <v>819</v>
      </c>
      <c r="MSG97" s="975" t="s">
        <v>819</v>
      </c>
      <c r="MSH97" s="975" t="s">
        <v>819</v>
      </c>
      <c r="MSI97" s="975" t="s">
        <v>819</v>
      </c>
      <c r="MSJ97" s="975" t="s">
        <v>819</v>
      </c>
      <c r="MSK97" s="975" t="s">
        <v>819</v>
      </c>
      <c r="MSL97" s="975" t="s">
        <v>819</v>
      </c>
      <c r="MSM97" s="975" t="s">
        <v>819</v>
      </c>
      <c r="MSN97" s="975" t="s">
        <v>819</v>
      </c>
      <c r="MSO97" s="975" t="s">
        <v>819</v>
      </c>
      <c r="MSP97" s="975" t="s">
        <v>819</v>
      </c>
      <c r="MSQ97" s="975" t="s">
        <v>819</v>
      </c>
      <c r="MSR97" s="975" t="s">
        <v>819</v>
      </c>
      <c r="MSS97" s="975" t="s">
        <v>819</v>
      </c>
      <c r="MST97" s="975" t="s">
        <v>819</v>
      </c>
      <c r="MSU97" s="975" t="s">
        <v>819</v>
      </c>
      <c r="MSV97" s="975" t="s">
        <v>819</v>
      </c>
      <c r="MSW97" s="975" t="s">
        <v>819</v>
      </c>
      <c r="MSX97" s="975" t="s">
        <v>819</v>
      </c>
      <c r="MSY97" s="975" t="s">
        <v>819</v>
      </c>
      <c r="MSZ97" s="975" t="s">
        <v>819</v>
      </c>
      <c r="MTA97" s="975" t="s">
        <v>819</v>
      </c>
      <c r="MTB97" s="975" t="s">
        <v>819</v>
      </c>
      <c r="MTC97" s="975" t="s">
        <v>819</v>
      </c>
      <c r="MTD97" s="975" t="s">
        <v>819</v>
      </c>
      <c r="MTE97" s="975" t="s">
        <v>819</v>
      </c>
      <c r="MTF97" s="975" t="s">
        <v>819</v>
      </c>
      <c r="MTG97" s="975" t="s">
        <v>819</v>
      </c>
      <c r="MTH97" s="975" t="s">
        <v>819</v>
      </c>
      <c r="MTI97" s="975" t="s">
        <v>819</v>
      </c>
      <c r="MTJ97" s="975" t="s">
        <v>819</v>
      </c>
      <c r="MTK97" s="975" t="s">
        <v>819</v>
      </c>
      <c r="MTL97" s="975" t="s">
        <v>819</v>
      </c>
      <c r="MTM97" s="975" t="s">
        <v>819</v>
      </c>
      <c r="MTN97" s="975" t="s">
        <v>819</v>
      </c>
      <c r="MTO97" s="975" t="s">
        <v>819</v>
      </c>
      <c r="MTP97" s="975" t="s">
        <v>819</v>
      </c>
      <c r="MTQ97" s="975" t="s">
        <v>819</v>
      </c>
      <c r="MTR97" s="975" t="s">
        <v>819</v>
      </c>
      <c r="MTS97" s="975" t="s">
        <v>819</v>
      </c>
      <c r="MTT97" s="975" t="s">
        <v>819</v>
      </c>
      <c r="MTU97" s="975" t="s">
        <v>819</v>
      </c>
      <c r="MTV97" s="975" t="s">
        <v>819</v>
      </c>
      <c r="MTW97" s="975" t="s">
        <v>819</v>
      </c>
      <c r="MTX97" s="975" t="s">
        <v>819</v>
      </c>
      <c r="MTY97" s="975" t="s">
        <v>819</v>
      </c>
      <c r="MTZ97" s="975" t="s">
        <v>819</v>
      </c>
      <c r="MUA97" s="975" t="s">
        <v>819</v>
      </c>
      <c r="MUB97" s="975" t="s">
        <v>819</v>
      </c>
      <c r="MUC97" s="975" t="s">
        <v>819</v>
      </c>
      <c r="MUD97" s="975" t="s">
        <v>819</v>
      </c>
      <c r="MUE97" s="975" t="s">
        <v>819</v>
      </c>
      <c r="MUF97" s="975" t="s">
        <v>819</v>
      </c>
      <c r="MUG97" s="975" t="s">
        <v>819</v>
      </c>
      <c r="MUH97" s="975" t="s">
        <v>819</v>
      </c>
      <c r="MUI97" s="975" t="s">
        <v>819</v>
      </c>
      <c r="MUJ97" s="975" t="s">
        <v>819</v>
      </c>
      <c r="MUK97" s="975" t="s">
        <v>819</v>
      </c>
      <c r="MUL97" s="975" t="s">
        <v>819</v>
      </c>
      <c r="MUM97" s="975" t="s">
        <v>819</v>
      </c>
      <c r="MUN97" s="975" t="s">
        <v>819</v>
      </c>
      <c r="MUO97" s="975" t="s">
        <v>819</v>
      </c>
      <c r="MUP97" s="975" t="s">
        <v>819</v>
      </c>
      <c r="MUQ97" s="975" t="s">
        <v>819</v>
      </c>
      <c r="MUR97" s="975" t="s">
        <v>819</v>
      </c>
      <c r="MUS97" s="975" t="s">
        <v>819</v>
      </c>
      <c r="MUT97" s="975" t="s">
        <v>819</v>
      </c>
      <c r="MUU97" s="975" t="s">
        <v>819</v>
      </c>
      <c r="MUV97" s="975" t="s">
        <v>819</v>
      </c>
      <c r="MUW97" s="975" t="s">
        <v>819</v>
      </c>
      <c r="MUX97" s="975" t="s">
        <v>819</v>
      </c>
      <c r="MUY97" s="975" t="s">
        <v>819</v>
      </c>
      <c r="MUZ97" s="975" t="s">
        <v>819</v>
      </c>
      <c r="MVA97" s="975" t="s">
        <v>819</v>
      </c>
      <c r="MVB97" s="975" t="s">
        <v>819</v>
      </c>
      <c r="MVC97" s="975" t="s">
        <v>819</v>
      </c>
      <c r="MVD97" s="975" t="s">
        <v>819</v>
      </c>
      <c r="MVE97" s="975" t="s">
        <v>819</v>
      </c>
      <c r="MVF97" s="975" t="s">
        <v>819</v>
      </c>
      <c r="MVG97" s="975" t="s">
        <v>819</v>
      </c>
      <c r="MVH97" s="975" t="s">
        <v>819</v>
      </c>
      <c r="MVI97" s="975" t="s">
        <v>819</v>
      </c>
      <c r="MVJ97" s="975" t="s">
        <v>819</v>
      </c>
      <c r="MVK97" s="975" t="s">
        <v>819</v>
      </c>
      <c r="MVL97" s="975" t="s">
        <v>819</v>
      </c>
      <c r="MVM97" s="975" t="s">
        <v>819</v>
      </c>
      <c r="MVN97" s="975" t="s">
        <v>819</v>
      </c>
      <c r="MVO97" s="975" t="s">
        <v>819</v>
      </c>
      <c r="MVP97" s="975" t="s">
        <v>819</v>
      </c>
      <c r="MVQ97" s="975" t="s">
        <v>819</v>
      </c>
      <c r="MVR97" s="975" t="s">
        <v>819</v>
      </c>
      <c r="MVS97" s="975" t="s">
        <v>819</v>
      </c>
      <c r="MVT97" s="975" t="s">
        <v>819</v>
      </c>
      <c r="MVU97" s="975" t="s">
        <v>819</v>
      </c>
      <c r="MVV97" s="975" t="s">
        <v>819</v>
      </c>
      <c r="MVW97" s="975" t="s">
        <v>819</v>
      </c>
      <c r="MVX97" s="975" t="s">
        <v>819</v>
      </c>
      <c r="MVY97" s="975" t="s">
        <v>819</v>
      </c>
      <c r="MVZ97" s="975" t="s">
        <v>819</v>
      </c>
      <c r="MWA97" s="975" t="s">
        <v>819</v>
      </c>
      <c r="MWB97" s="975" t="s">
        <v>819</v>
      </c>
      <c r="MWC97" s="975" t="s">
        <v>819</v>
      </c>
      <c r="MWD97" s="975" t="s">
        <v>819</v>
      </c>
      <c r="MWE97" s="975" t="s">
        <v>819</v>
      </c>
      <c r="MWF97" s="975" t="s">
        <v>819</v>
      </c>
      <c r="MWG97" s="975" t="s">
        <v>819</v>
      </c>
      <c r="MWH97" s="975" t="s">
        <v>819</v>
      </c>
      <c r="MWI97" s="975" t="s">
        <v>819</v>
      </c>
      <c r="MWJ97" s="975" t="s">
        <v>819</v>
      </c>
      <c r="MWK97" s="975" t="s">
        <v>819</v>
      </c>
      <c r="MWL97" s="975" t="s">
        <v>819</v>
      </c>
      <c r="MWM97" s="975" t="s">
        <v>819</v>
      </c>
      <c r="MWN97" s="975" t="s">
        <v>819</v>
      </c>
      <c r="MWO97" s="975" t="s">
        <v>819</v>
      </c>
      <c r="MWP97" s="975" t="s">
        <v>819</v>
      </c>
      <c r="MWQ97" s="975" t="s">
        <v>819</v>
      </c>
      <c r="MWR97" s="975" t="s">
        <v>819</v>
      </c>
      <c r="MWS97" s="975" t="s">
        <v>819</v>
      </c>
      <c r="MWT97" s="975" t="s">
        <v>819</v>
      </c>
      <c r="MWU97" s="975" t="s">
        <v>819</v>
      </c>
      <c r="MWV97" s="975" t="s">
        <v>819</v>
      </c>
      <c r="MWW97" s="975" t="s">
        <v>819</v>
      </c>
      <c r="MWX97" s="975" t="s">
        <v>819</v>
      </c>
      <c r="MWY97" s="975" t="s">
        <v>819</v>
      </c>
      <c r="MWZ97" s="975" t="s">
        <v>819</v>
      </c>
      <c r="MXA97" s="975" t="s">
        <v>819</v>
      </c>
      <c r="MXB97" s="975" t="s">
        <v>819</v>
      </c>
      <c r="MXC97" s="975" t="s">
        <v>819</v>
      </c>
      <c r="MXD97" s="975" t="s">
        <v>819</v>
      </c>
      <c r="MXE97" s="975" t="s">
        <v>819</v>
      </c>
      <c r="MXF97" s="975" t="s">
        <v>819</v>
      </c>
      <c r="MXG97" s="975" t="s">
        <v>819</v>
      </c>
      <c r="MXH97" s="975" t="s">
        <v>819</v>
      </c>
      <c r="MXI97" s="975" t="s">
        <v>819</v>
      </c>
      <c r="MXJ97" s="975" t="s">
        <v>819</v>
      </c>
      <c r="MXK97" s="975" t="s">
        <v>819</v>
      </c>
      <c r="MXL97" s="975" t="s">
        <v>819</v>
      </c>
      <c r="MXM97" s="975" t="s">
        <v>819</v>
      </c>
      <c r="MXN97" s="975" t="s">
        <v>819</v>
      </c>
      <c r="MXO97" s="975" t="s">
        <v>819</v>
      </c>
      <c r="MXP97" s="975" t="s">
        <v>819</v>
      </c>
      <c r="MXQ97" s="975" t="s">
        <v>819</v>
      </c>
      <c r="MXR97" s="975" t="s">
        <v>819</v>
      </c>
      <c r="MXS97" s="975" t="s">
        <v>819</v>
      </c>
      <c r="MXT97" s="975" t="s">
        <v>819</v>
      </c>
      <c r="MXU97" s="975" t="s">
        <v>819</v>
      </c>
      <c r="MXV97" s="975" t="s">
        <v>819</v>
      </c>
      <c r="MXW97" s="975" t="s">
        <v>819</v>
      </c>
      <c r="MXX97" s="975" t="s">
        <v>819</v>
      </c>
      <c r="MXY97" s="975" t="s">
        <v>819</v>
      </c>
      <c r="MXZ97" s="975" t="s">
        <v>819</v>
      </c>
      <c r="MYA97" s="975" t="s">
        <v>819</v>
      </c>
      <c r="MYB97" s="975" t="s">
        <v>819</v>
      </c>
      <c r="MYC97" s="975" t="s">
        <v>819</v>
      </c>
      <c r="MYD97" s="975" t="s">
        <v>819</v>
      </c>
      <c r="MYE97" s="975" t="s">
        <v>819</v>
      </c>
      <c r="MYF97" s="975" t="s">
        <v>819</v>
      </c>
      <c r="MYG97" s="975" t="s">
        <v>819</v>
      </c>
      <c r="MYH97" s="975" t="s">
        <v>819</v>
      </c>
      <c r="MYI97" s="975" t="s">
        <v>819</v>
      </c>
      <c r="MYJ97" s="975" t="s">
        <v>819</v>
      </c>
      <c r="MYK97" s="975" t="s">
        <v>819</v>
      </c>
      <c r="MYL97" s="975" t="s">
        <v>819</v>
      </c>
      <c r="MYM97" s="975" t="s">
        <v>819</v>
      </c>
      <c r="MYN97" s="975" t="s">
        <v>819</v>
      </c>
      <c r="MYO97" s="975" t="s">
        <v>819</v>
      </c>
      <c r="MYP97" s="975" t="s">
        <v>819</v>
      </c>
      <c r="MYQ97" s="975" t="s">
        <v>819</v>
      </c>
      <c r="MYR97" s="975" t="s">
        <v>819</v>
      </c>
      <c r="MYS97" s="975" t="s">
        <v>819</v>
      </c>
      <c r="MYT97" s="975" t="s">
        <v>819</v>
      </c>
      <c r="MYU97" s="975" t="s">
        <v>819</v>
      </c>
      <c r="MYV97" s="975" t="s">
        <v>819</v>
      </c>
      <c r="MYW97" s="975" t="s">
        <v>819</v>
      </c>
      <c r="MYX97" s="975" t="s">
        <v>819</v>
      </c>
      <c r="MYY97" s="975" t="s">
        <v>819</v>
      </c>
      <c r="MYZ97" s="975" t="s">
        <v>819</v>
      </c>
      <c r="MZA97" s="975" t="s">
        <v>819</v>
      </c>
      <c r="MZB97" s="975" t="s">
        <v>819</v>
      </c>
      <c r="MZC97" s="975" t="s">
        <v>819</v>
      </c>
      <c r="MZD97" s="975" t="s">
        <v>819</v>
      </c>
      <c r="MZE97" s="975" t="s">
        <v>819</v>
      </c>
      <c r="MZF97" s="975" t="s">
        <v>819</v>
      </c>
      <c r="MZG97" s="975" t="s">
        <v>819</v>
      </c>
      <c r="MZH97" s="975" t="s">
        <v>819</v>
      </c>
      <c r="MZI97" s="975" t="s">
        <v>819</v>
      </c>
      <c r="MZJ97" s="975" t="s">
        <v>819</v>
      </c>
      <c r="MZK97" s="975" t="s">
        <v>819</v>
      </c>
      <c r="MZL97" s="975" t="s">
        <v>819</v>
      </c>
      <c r="MZM97" s="975" t="s">
        <v>819</v>
      </c>
      <c r="MZN97" s="975" t="s">
        <v>819</v>
      </c>
      <c r="MZO97" s="975" t="s">
        <v>819</v>
      </c>
      <c r="MZP97" s="975" t="s">
        <v>819</v>
      </c>
      <c r="MZQ97" s="975" t="s">
        <v>819</v>
      </c>
      <c r="MZR97" s="975" t="s">
        <v>819</v>
      </c>
      <c r="MZS97" s="975" t="s">
        <v>819</v>
      </c>
      <c r="MZT97" s="975" t="s">
        <v>819</v>
      </c>
      <c r="MZU97" s="975" t="s">
        <v>819</v>
      </c>
      <c r="MZV97" s="975" t="s">
        <v>819</v>
      </c>
      <c r="MZW97" s="975" t="s">
        <v>819</v>
      </c>
      <c r="MZX97" s="975" t="s">
        <v>819</v>
      </c>
      <c r="MZY97" s="975" t="s">
        <v>819</v>
      </c>
      <c r="MZZ97" s="975" t="s">
        <v>819</v>
      </c>
      <c r="NAA97" s="975" t="s">
        <v>819</v>
      </c>
      <c r="NAB97" s="975" t="s">
        <v>819</v>
      </c>
      <c r="NAC97" s="975" t="s">
        <v>819</v>
      </c>
      <c r="NAD97" s="975" t="s">
        <v>819</v>
      </c>
      <c r="NAE97" s="975" t="s">
        <v>819</v>
      </c>
      <c r="NAF97" s="975" t="s">
        <v>819</v>
      </c>
      <c r="NAG97" s="975" t="s">
        <v>819</v>
      </c>
      <c r="NAH97" s="975" t="s">
        <v>819</v>
      </c>
      <c r="NAI97" s="975" t="s">
        <v>819</v>
      </c>
      <c r="NAJ97" s="975" t="s">
        <v>819</v>
      </c>
      <c r="NAK97" s="975" t="s">
        <v>819</v>
      </c>
      <c r="NAL97" s="975" t="s">
        <v>819</v>
      </c>
      <c r="NAM97" s="975" t="s">
        <v>819</v>
      </c>
      <c r="NAN97" s="975" t="s">
        <v>819</v>
      </c>
      <c r="NAO97" s="975" t="s">
        <v>819</v>
      </c>
      <c r="NAP97" s="975" t="s">
        <v>819</v>
      </c>
      <c r="NAQ97" s="975" t="s">
        <v>819</v>
      </c>
      <c r="NAR97" s="975" t="s">
        <v>819</v>
      </c>
      <c r="NAS97" s="975" t="s">
        <v>819</v>
      </c>
      <c r="NAT97" s="975" t="s">
        <v>819</v>
      </c>
      <c r="NAU97" s="975" t="s">
        <v>819</v>
      </c>
      <c r="NAV97" s="975" t="s">
        <v>819</v>
      </c>
      <c r="NAW97" s="975" t="s">
        <v>819</v>
      </c>
      <c r="NAX97" s="975" t="s">
        <v>819</v>
      </c>
      <c r="NAY97" s="975" t="s">
        <v>819</v>
      </c>
      <c r="NAZ97" s="975" t="s">
        <v>819</v>
      </c>
      <c r="NBA97" s="975" t="s">
        <v>819</v>
      </c>
      <c r="NBB97" s="975" t="s">
        <v>819</v>
      </c>
      <c r="NBC97" s="975" t="s">
        <v>819</v>
      </c>
      <c r="NBD97" s="975" t="s">
        <v>819</v>
      </c>
      <c r="NBE97" s="975" t="s">
        <v>819</v>
      </c>
      <c r="NBF97" s="975" t="s">
        <v>819</v>
      </c>
      <c r="NBG97" s="975" t="s">
        <v>819</v>
      </c>
      <c r="NBH97" s="975" t="s">
        <v>819</v>
      </c>
      <c r="NBI97" s="975" t="s">
        <v>819</v>
      </c>
      <c r="NBJ97" s="975" t="s">
        <v>819</v>
      </c>
      <c r="NBK97" s="975" t="s">
        <v>819</v>
      </c>
      <c r="NBL97" s="975" t="s">
        <v>819</v>
      </c>
      <c r="NBM97" s="975" t="s">
        <v>819</v>
      </c>
      <c r="NBN97" s="975" t="s">
        <v>819</v>
      </c>
      <c r="NBO97" s="975" t="s">
        <v>819</v>
      </c>
      <c r="NBP97" s="975" t="s">
        <v>819</v>
      </c>
      <c r="NBQ97" s="975" t="s">
        <v>819</v>
      </c>
      <c r="NBR97" s="975" t="s">
        <v>819</v>
      </c>
      <c r="NBS97" s="975" t="s">
        <v>819</v>
      </c>
      <c r="NBT97" s="975" t="s">
        <v>819</v>
      </c>
      <c r="NBU97" s="975" t="s">
        <v>819</v>
      </c>
      <c r="NBV97" s="975" t="s">
        <v>819</v>
      </c>
      <c r="NBW97" s="975" t="s">
        <v>819</v>
      </c>
      <c r="NBX97" s="975" t="s">
        <v>819</v>
      </c>
      <c r="NBY97" s="975" t="s">
        <v>819</v>
      </c>
      <c r="NBZ97" s="975" t="s">
        <v>819</v>
      </c>
      <c r="NCA97" s="975" t="s">
        <v>819</v>
      </c>
      <c r="NCB97" s="975" t="s">
        <v>819</v>
      </c>
      <c r="NCC97" s="975" t="s">
        <v>819</v>
      </c>
      <c r="NCD97" s="975" t="s">
        <v>819</v>
      </c>
      <c r="NCE97" s="975" t="s">
        <v>819</v>
      </c>
      <c r="NCF97" s="975" t="s">
        <v>819</v>
      </c>
      <c r="NCG97" s="975" t="s">
        <v>819</v>
      </c>
      <c r="NCH97" s="975" t="s">
        <v>819</v>
      </c>
      <c r="NCI97" s="975" t="s">
        <v>819</v>
      </c>
      <c r="NCJ97" s="975" t="s">
        <v>819</v>
      </c>
      <c r="NCK97" s="975" t="s">
        <v>819</v>
      </c>
      <c r="NCL97" s="975" t="s">
        <v>819</v>
      </c>
      <c r="NCM97" s="975" t="s">
        <v>819</v>
      </c>
      <c r="NCN97" s="975" t="s">
        <v>819</v>
      </c>
      <c r="NCO97" s="975" t="s">
        <v>819</v>
      </c>
      <c r="NCP97" s="975" t="s">
        <v>819</v>
      </c>
      <c r="NCQ97" s="975" t="s">
        <v>819</v>
      </c>
      <c r="NCR97" s="975" t="s">
        <v>819</v>
      </c>
      <c r="NCS97" s="975" t="s">
        <v>819</v>
      </c>
      <c r="NCT97" s="975" t="s">
        <v>819</v>
      </c>
      <c r="NCU97" s="975" t="s">
        <v>819</v>
      </c>
      <c r="NCV97" s="975" t="s">
        <v>819</v>
      </c>
      <c r="NCW97" s="975" t="s">
        <v>819</v>
      </c>
      <c r="NCX97" s="975" t="s">
        <v>819</v>
      </c>
      <c r="NCY97" s="975" t="s">
        <v>819</v>
      </c>
      <c r="NCZ97" s="975" t="s">
        <v>819</v>
      </c>
      <c r="NDA97" s="975" t="s">
        <v>819</v>
      </c>
      <c r="NDB97" s="975" t="s">
        <v>819</v>
      </c>
      <c r="NDC97" s="975" t="s">
        <v>819</v>
      </c>
      <c r="NDD97" s="975" t="s">
        <v>819</v>
      </c>
      <c r="NDE97" s="975" t="s">
        <v>819</v>
      </c>
      <c r="NDF97" s="975" t="s">
        <v>819</v>
      </c>
      <c r="NDG97" s="975" t="s">
        <v>819</v>
      </c>
      <c r="NDH97" s="975" t="s">
        <v>819</v>
      </c>
      <c r="NDI97" s="975" t="s">
        <v>819</v>
      </c>
      <c r="NDJ97" s="975" t="s">
        <v>819</v>
      </c>
      <c r="NDK97" s="975" t="s">
        <v>819</v>
      </c>
      <c r="NDL97" s="975" t="s">
        <v>819</v>
      </c>
      <c r="NDM97" s="975" t="s">
        <v>819</v>
      </c>
      <c r="NDN97" s="975" t="s">
        <v>819</v>
      </c>
      <c r="NDO97" s="975" t="s">
        <v>819</v>
      </c>
      <c r="NDP97" s="975" t="s">
        <v>819</v>
      </c>
      <c r="NDQ97" s="975" t="s">
        <v>819</v>
      </c>
      <c r="NDR97" s="975" t="s">
        <v>819</v>
      </c>
      <c r="NDS97" s="975" t="s">
        <v>819</v>
      </c>
      <c r="NDT97" s="975" t="s">
        <v>819</v>
      </c>
      <c r="NDU97" s="975" t="s">
        <v>819</v>
      </c>
      <c r="NDV97" s="975" t="s">
        <v>819</v>
      </c>
      <c r="NDW97" s="975" t="s">
        <v>819</v>
      </c>
      <c r="NDX97" s="975" t="s">
        <v>819</v>
      </c>
      <c r="NDY97" s="975" t="s">
        <v>819</v>
      </c>
      <c r="NDZ97" s="975" t="s">
        <v>819</v>
      </c>
      <c r="NEA97" s="975" t="s">
        <v>819</v>
      </c>
      <c r="NEB97" s="975" t="s">
        <v>819</v>
      </c>
      <c r="NEC97" s="975" t="s">
        <v>819</v>
      </c>
      <c r="NED97" s="975" t="s">
        <v>819</v>
      </c>
      <c r="NEE97" s="975" t="s">
        <v>819</v>
      </c>
      <c r="NEF97" s="975" t="s">
        <v>819</v>
      </c>
      <c r="NEG97" s="975" t="s">
        <v>819</v>
      </c>
      <c r="NEH97" s="975" t="s">
        <v>819</v>
      </c>
      <c r="NEI97" s="975" t="s">
        <v>819</v>
      </c>
      <c r="NEJ97" s="975" t="s">
        <v>819</v>
      </c>
      <c r="NEK97" s="975" t="s">
        <v>819</v>
      </c>
      <c r="NEL97" s="975" t="s">
        <v>819</v>
      </c>
      <c r="NEM97" s="975" t="s">
        <v>819</v>
      </c>
      <c r="NEN97" s="975" t="s">
        <v>819</v>
      </c>
      <c r="NEO97" s="975" t="s">
        <v>819</v>
      </c>
      <c r="NEP97" s="975" t="s">
        <v>819</v>
      </c>
      <c r="NEQ97" s="975" t="s">
        <v>819</v>
      </c>
      <c r="NER97" s="975" t="s">
        <v>819</v>
      </c>
      <c r="NES97" s="975" t="s">
        <v>819</v>
      </c>
      <c r="NET97" s="975" t="s">
        <v>819</v>
      </c>
      <c r="NEU97" s="975" t="s">
        <v>819</v>
      </c>
      <c r="NEV97" s="975" t="s">
        <v>819</v>
      </c>
      <c r="NEW97" s="975" t="s">
        <v>819</v>
      </c>
      <c r="NEX97" s="975" t="s">
        <v>819</v>
      </c>
      <c r="NEY97" s="975" t="s">
        <v>819</v>
      </c>
      <c r="NEZ97" s="975" t="s">
        <v>819</v>
      </c>
      <c r="NFA97" s="975" t="s">
        <v>819</v>
      </c>
      <c r="NFB97" s="975" t="s">
        <v>819</v>
      </c>
      <c r="NFC97" s="975" t="s">
        <v>819</v>
      </c>
      <c r="NFD97" s="975" t="s">
        <v>819</v>
      </c>
      <c r="NFE97" s="975" t="s">
        <v>819</v>
      </c>
      <c r="NFF97" s="975" t="s">
        <v>819</v>
      </c>
      <c r="NFG97" s="975" t="s">
        <v>819</v>
      </c>
      <c r="NFH97" s="975" t="s">
        <v>819</v>
      </c>
      <c r="NFI97" s="975" t="s">
        <v>819</v>
      </c>
      <c r="NFJ97" s="975" t="s">
        <v>819</v>
      </c>
      <c r="NFK97" s="975" t="s">
        <v>819</v>
      </c>
      <c r="NFL97" s="975" t="s">
        <v>819</v>
      </c>
      <c r="NFM97" s="975" t="s">
        <v>819</v>
      </c>
      <c r="NFN97" s="975" t="s">
        <v>819</v>
      </c>
      <c r="NFO97" s="975" t="s">
        <v>819</v>
      </c>
      <c r="NFP97" s="975" t="s">
        <v>819</v>
      </c>
      <c r="NFQ97" s="975" t="s">
        <v>819</v>
      </c>
      <c r="NFR97" s="975" t="s">
        <v>819</v>
      </c>
      <c r="NFS97" s="975" t="s">
        <v>819</v>
      </c>
      <c r="NFT97" s="975" t="s">
        <v>819</v>
      </c>
      <c r="NFU97" s="975" t="s">
        <v>819</v>
      </c>
      <c r="NFV97" s="975" t="s">
        <v>819</v>
      </c>
      <c r="NFW97" s="975" t="s">
        <v>819</v>
      </c>
      <c r="NFX97" s="975" t="s">
        <v>819</v>
      </c>
      <c r="NFY97" s="975" t="s">
        <v>819</v>
      </c>
      <c r="NFZ97" s="975" t="s">
        <v>819</v>
      </c>
      <c r="NGA97" s="975" t="s">
        <v>819</v>
      </c>
      <c r="NGB97" s="975" t="s">
        <v>819</v>
      </c>
      <c r="NGC97" s="975" t="s">
        <v>819</v>
      </c>
      <c r="NGD97" s="975" t="s">
        <v>819</v>
      </c>
      <c r="NGE97" s="975" t="s">
        <v>819</v>
      </c>
      <c r="NGF97" s="975" t="s">
        <v>819</v>
      </c>
      <c r="NGG97" s="975" t="s">
        <v>819</v>
      </c>
      <c r="NGH97" s="975" t="s">
        <v>819</v>
      </c>
      <c r="NGI97" s="975" t="s">
        <v>819</v>
      </c>
      <c r="NGJ97" s="975" t="s">
        <v>819</v>
      </c>
      <c r="NGK97" s="975" t="s">
        <v>819</v>
      </c>
      <c r="NGL97" s="975" t="s">
        <v>819</v>
      </c>
      <c r="NGM97" s="975" t="s">
        <v>819</v>
      </c>
      <c r="NGN97" s="975" t="s">
        <v>819</v>
      </c>
      <c r="NGO97" s="975" t="s">
        <v>819</v>
      </c>
      <c r="NGP97" s="975" t="s">
        <v>819</v>
      </c>
      <c r="NGQ97" s="975" t="s">
        <v>819</v>
      </c>
      <c r="NGR97" s="975" t="s">
        <v>819</v>
      </c>
      <c r="NGS97" s="975" t="s">
        <v>819</v>
      </c>
      <c r="NGT97" s="975" t="s">
        <v>819</v>
      </c>
      <c r="NGU97" s="975" t="s">
        <v>819</v>
      </c>
      <c r="NGV97" s="975" t="s">
        <v>819</v>
      </c>
      <c r="NGW97" s="975" t="s">
        <v>819</v>
      </c>
      <c r="NGX97" s="975" t="s">
        <v>819</v>
      </c>
      <c r="NGY97" s="975" t="s">
        <v>819</v>
      </c>
      <c r="NGZ97" s="975" t="s">
        <v>819</v>
      </c>
      <c r="NHA97" s="975" t="s">
        <v>819</v>
      </c>
      <c r="NHB97" s="975" t="s">
        <v>819</v>
      </c>
      <c r="NHC97" s="975" t="s">
        <v>819</v>
      </c>
      <c r="NHD97" s="975" t="s">
        <v>819</v>
      </c>
      <c r="NHE97" s="975" t="s">
        <v>819</v>
      </c>
      <c r="NHF97" s="975" t="s">
        <v>819</v>
      </c>
      <c r="NHG97" s="975" t="s">
        <v>819</v>
      </c>
      <c r="NHH97" s="975" t="s">
        <v>819</v>
      </c>
      <c r="NHI97" s="975" t="s">
        <v>819</v>
      </c>
      <c r="NHJ97" s="975" t="s">
        <v>819</v>
      </c>
      <c r="NHK97" s="975" t="s">
        <v>819</v>
      </c>
      <c r="NHL97" s="975" t="s">
        <v>819</v>
      </c>
      <c r="NHM97" s="975" t="s">
        <v>819</v>
      </c>
      <c r="NHN97" s="975" t="s">
        <v>819</v>
      </c>
      <c r="NHO97" s="975" t="s">
        <v>819</v>
      </c>
      <c r="NHP97" s="975" t="s">
        <v>819</v>
      </c>
      <c r="NHQ97" s="975" t="s">
        <v>819</v>
      </c>
      <c r="NHR97" s="975" t="s">
        <v>819</v>
      </c>
      <c r="NHS97" s="975" t="s">
        <v>819</v>
      </c>
      <c r="NHT97" s="975" t="s">
        <v>819</v>
      </c>
      <c r="NHU97" s="975" t="s">
        <v>819</v>
      </c>
      <c r="NHV97" s="975" t="s">
        <v>819</v>
      </c>
      <c r="NHW97" s="975" t="s">
        <v>819</v>
      </c>
      <c r="NHX97" s="975" t="s">
        <v>819</v>
      </c>
      <c r="NHY97" s="975" t="s">
        <v>819</v>
      </c>
      <c r="NHZ97" s="975" t="s">
        <v>819</v>
      </c>
      <c r="NIA97" s="975" t="s">
        <v>819</v>
      </c>
      <c r="NIB97" s="975" t="s">
        <v>819</v>
      </c>
      <c r="NIC97" s="975" t="s">
        <v>819</v>
      </c>
      <c r="NID97" s="975" t="s">
        <v>819</v>
      </c>
      <c r="NIE97" s="975" t="s">
        <v>819</v>
      </c>
      <c r="NIF97" s="975" t="s">
        <v>819</v>
      </c>
      <c r="NIG97" s="975" t="s">
        <v>819</v>
      </c>
      <c r="NIH97" s="975" t="s">
        <v>819</v>
      </c>
      <c r="NII97" s="975" t="s">
        <v>819</v>
      </c>
      <c r="NIJ97" s="975" t="s">
        <v>819</v>
      </c>
      <c r="NIK97" s="975" t="s">
        <v>819</v>
      </c>
      <c r="NIL97" s="975" t="s">
        <v>819</v>
      </c>
      <c r="NIM97" s="975" t="s">
        <v>819</v>
      </c>
      <c r="NIN97" s="975" t="s">
        <v>819</v>
      </c>
      <c r="NIO97" s="975" t="s">
        <v>819</v>
      </c>
      <c r="NIP97" s="975" t="s">
        <v>819</v>
      </c>
      <c r="NIQ97" s="975" t="s">
        <v>819</v>
      </c>
      <c r="NIR97" s="975" t="s">
        <v>819</v>
      </c>
      <c r="NIS97" s="975" t="s">
        <v>819</v>
      </c>
      <c r="NIT97" s="975" t="s">
        <v>819</v>
      </c>
      <c r="NIU97" s="975" t="s">
        <v>819</v>
      </c>
      <c r="NIV97" s="975" t="s">
        <v>819</v>
      </c>
      <c r="NIW97" s="975" t="s">
        <v>819</v>
      </c>
      <c r="NIX97" s="975" t="s">
        <v>819</v>
      </c>
      <c r="NIY97" s="975" t="s">
        <v>819</v>
      </c>
      <c r="NIZ97" s="975" t="s">
        <v>819</v>
      </c>
      <c r="NJA97" s="975" t="s">
        <v>819</v>
      </c>
      <c r="NJB97" s="975" t="s">
        <v>819</v>
      </c>
      <c r="NJC97" s="975" t="s">
        <v>819</v>
      </c>
      <c r="NJD97" s="975" t="s">
        <v>819</v>
      </c>
      <c r="NJE97" s="975" t="s">
        <v>819</v>
      </c>
      <c r="NJF97" s="975" t="s">
        <v>819</v>
      </c>
      <c r="NJG97" s="975" t="s">
        <v>819</v>
      </c>
      <c r="NJH97" s="975" t="s">
        <v>819</v>
      </c>
      <c r="NJI97" s="975" t="s">
        <v>819</v>
      </c>
      <c r="NJJ97" s="975" t="s">
        <v>819</v>
      </c>
      <c r="NJK97" s="975" t="s">
        <v>819</v>
      </c>
      <c r="NJL97" s="975" t="s">
        <v>819</v>
      </c>
      <c r="NJM97" s="975" t="s">
        <v>819</v>
      </c>
      <c r="NJN97" s="975" t="s">
        <v>819</v>
      </c>
      <c r="NJO97" s="975" t="s">
        <v>819</v>
      </c>
      <c r="NJP97" s="975" t="s">
        <v>819</v>
      </c>
      <c r="NJQ97" s="975" t="s">
        <v>819</v>
      </c>
      <c r="NJR97" s="975" t="s">
        <v>819</v>
      </c>
      <c r="NJS97" s="975" t="s">
        <v>819</v>
      </c>
      <c r="NJT97" s="975" t="s">
        <v>819</v>
      </c>
      <c r="NJU97" s="975" t="s">
        <v>819</v>
      </c>
      <c r="NJV97" s="975" t="s">
        <v>819</v>
      </c>
      <c r="NJW97" s="975" t="s">
        <v>819</v>
      </c>
      <c r="NJX97" s="975" t="s">
        <v>819</v>
      </c>
      <c r="NJY97" s="975" t="s">
        <v>819</v>
      </c>
      <c r="NJZ97" s="975" t="s">
        <v>819</v>
      </c>
      <c r="NKA97" s="975" t="s">
        <v>819</v>
      </c>
      <c r="NKB97" s="975" t="s">
        <v>819</v>
      </c>
      <c r="NKC97" s="975" t="s">
        <v>819</v>
      </c>
      <c r="NKD97" s="975" t="s">
        <v>819</v>
      </c>
      <c r="NKE97" s="975" t="s">
        <v>819</v>
      </c>
      <c r="NKF97" s="975" t="s">
        <v>819</v>
      </c>
      <c r="NKG97" s="975" t="s">
        <v>819</v>
      </c>
      <c r="NKH97" s="975" t="s">
        <v>819</v>
      </c>
      <c r="NKI97" s="975" t="s">
        <v>819</v>
      </c>
      <c r="NKJ97" s="975" t="s">
        <v>819</v>
      </c>
      <c r="NKK97" s="975" t="s">
        <v>819</v>
      </c>
      <c r="NKL97" s="975" t="s">
        <v>819</v>
      </c>
      <c r="NKM97" s="975" t="s">
        <v>819</v>
      </c>
      <c r="NKN97" s="975" t="s">
        <v>819</v>
      </c>
      <c r="NKO97" s="975" t="s">
        <v>819</v>
      </c>
      <c r="NKP97" s="975" t="s">
        <v>819</v>
      </c>
      <c r="NKQ97" s="975" t="s">
        <v>819</v>
      </c>
      <c r="NKR97" s="975" t="s">
        <v>819</v>
      </c>
      <c r="NKS97" s="975" t="s">
        <v>819</v>
      </c>
      <c r="NKT97" s="975" t="s">
        <v>819</v>
      </c>
      <c r="NKU97" s="975" t="s">
        <v>819</v>
      </c>
      <c r="NKV97" s="975" t="s">
        <v>819</v>
      </c>
      <c r="NKW97" s="975" t="s">
        <v>819</v>
      </c>
      <c r="NKX97" s="975" t="s">
        <v>819</v>
      </c>
      <c r="NKY97" s="975" t="s">
        <v>819</v>
      </c>
      <c r="NKZ97" s="975" t="s">
        <v>819</v>
      </c>
      <c r="NLA97" s="975" t="s">
        <v>819</v>
      </c>
      <c r="NLB97" s="975" t="s">
        <v>819</v>
      </c>
      <c r="NLC97" s="975" t="s">
        <v>819</v>
      </c>
      <c r="NLD97" s="975" t="s">
        <v>819</v>
      </c>
      <c r="NLE97" s="975" t="s">
        <v>819</v>
      </c>
      <c r="NLF97" s="975" t="s">
        <v>819</v>
      </c>
      <c r="NLG97" s="975" t="s">
        <v>819</v>
      </c>
      <c r="NLH97" s="975" t="s">
        <v>819</v>
      </c>
      <c r="NLI97" s="975" t="s">
        <v>819</v>
      </c>
      <c r="NLJ97" s="975" t="s">
        <v>819</v>
      </c>
      <c r="NLK97" s="975" t="s">
        <v>819</v>
      </c>
      <c r="NLL97" s="975" t="s">
        <v>819</v>
      </c>
      <c r="NLM97" s="975" t="s">
        <v>819</v>
      </c>
      <c r="NLN97" s="975" t="s">
        <v>819</v>
      </c>
      <c r="NLO97" s="975" t="s">
        <v>819</v>
      </c>
      <c r="NLP97" s="975" t="s">
        <v>819</v>
      </c>
      <c r="NLQ97" s="975" t="s">
        <v>819</v>
      </c>
      <c r="NLR97" s="975" t="s">
        <v>819</v>
      </c>
      <c r="NLS97" s="975" t="s">
        <v>819</v>
      </c>
      <c r="NLT97" s="975" t="s">
        <v>819</v>
      </c>
      <c r="NLU97" s="975" t="s">
        <v>819</v>
      </c>
      <c r="NLV97" s="975" t="s">
        <v>819</v>
      </c>
      <c r="NLW97" s="975" t="s">
        <v>819</v>
      </c>
      <c r="NLX97" s="975" t="s">
        <v>819</v>
      </c>
      <c r="NLY97" s="975" t="s">
        <v>819</v>
      </c>
      <c r="NLZ97" s="975" t="s">
        <v>819</v>
      </c>
      <c r="NMA97" s="975" t="s">
        <v>819</v>
      </c>
      <c r="NMB97" s="975" t="s">
        <v>819</v>
      </c>
      <c r="NMC97" s="975" t="s">
        <v>819</v>
      </c>
      <c r="NMD97" s="975" t="s">
        <v>819</v>
      </c>
      <c r="NME97" s="975" t="s">
        <v>819</v>
      </c>
      <c r="NMF97" s="975" t="s">
        <v>819</v>
      </c>
      <c r="NMG97" s="975" t="s">
        <v>819</v>
      </c>
      <c r="NMH97" s="975" t="s">
        <v>819</v>
      </c>
      <c r="NMI97" s="975" t="s">
        <v>819</v>
      </c>
      <c r="NMJ97" s="975" t="s">
        <v>819</v>
      </c>
      <c r="NMK97" s="975" t="s">
        <v>819</v>
      </c>
      <c r="NML97" s="975" t="s">
        <v>819</v>
      </c>
      <c r="NMM97" s="975" t="s">
        <v>819</v>
      </c>
      <c r="NMN97" s="975" t="s">
        <v>819</v>
      </c>
      <c r="NMO97" s="975" t="s">
        <v>819</v>
      </c>
      <c r="NMP97" s="975" t="s">
        <v>819</v>
      </c>
      <c r="NMQ97" s="975" t="s">
        <v>819</v>
      </c>
      <c r="NMR97" s="975" t="s">
        <v>819</v>
      </c>
      <c r="NMS97" s="975" t="s">
        <v>819</v>
      </c>
      <c r="NMT97" s="975" t="s">
        <v>819</v>
      </c>
      <c r="NMU97" s="975" t="s">
        <v>819</v>
      </c>
      <c r="NMV97" s="975" t="s">
        <v>819</v>
      </c>
      <c r="NMW97" s="975" t="s">
        <v>819</v>
      </c>
      <c r="NMX97" s="975" t="s">
        <v>819</v>
      </c>
      <c r="NMY97" s="975" t="s">
        <v>819</v>
      </c>
      <c r="NMZ97" s="975" t="s">
        <v>819</v>
      </c>
      <c r="NNA97" s="975" t="s">
        <v>819</v>
      </c>
      <c r="NNB97" s="975" t="s">
        <v>819</v>
      </c>
      <c r="NNC97" s="975" t="s">
        <v>819</v>
      </c>
      <c r="NND97" s="975" t="s">
        <v>819</v>
      </c>
      <c r="NNE97" s="975" t="s">
        <v>819</v>
      </c>
      <c r="NNF97" s="975" t="s">
        <v>819</v>
      </c>
      <c r="NNG97" s="975" t="s">
        <v>819</v>
      </c>
      <c r="NNH97" s="975" t="s">
        <v>819</v>
      </c>
      <c r="NNI97" s="975" t="s">
        <v>819</v>
      </c>
      <c r="NNJ97" s="975" t="s">
        <v>819</v>
      </c>
      <c r="NNK97" s="975" t="s">
        <v>819</v>
      </c>
      <c r="NNL97" s="975" t="s">
        <v>819</v>
      </c>
      <c r="NNM97" s="975" t="s">
        <v>819</v>
      </c>
      <c r="NNN97" s="975" t="s">
        <v>819</v>
      </c>
      <c r="NNO97" s="975" t="s">
        <v>819</v>
      </c>
      <c r="NNP97" s="975" t="s">
        <v>819</v>
      </c>
      <c r="NNQ97" s="975" t="s">
        <v>819</v>
      </c>
      <c r="NNR97" s="975" t="s">
        <v>819</v>
      </c>
      <c r="NNS97" s="975" t="s">
        <v>819</v>
      </c>
      <c r="NNT97" s="975" t="s">
        <v>819</v>
      </c>
      <c r="NNU97" s="975" t="s">
        <v>819</v>
      </c>
      <c r="NNV97" s="975" t="s">
        <v>819</v>
      </c>
      <c r="NNW97" s="975" t="s">
        <v>819</v>
      </c>
      <c r="NNX97" s="975" t="s">
        <v>819</v>
      </c>
      <c r="NNY97" s="975" t="s">
        <v>819</v>
      </c>
      <c r="NNZ97" s="975" t="s">
        <v>819</v>
      </c>
      <c r="NOA97" s="975" t="s">
        <v>819</v>
      </c>
      <c r="NOB97" s="975" t="s">
        <v>819</v>
      </c>
      <c r="NOC97" s="975" t="s">
        <v>819</v>
      </c>
      <c r="NOD97" s="975" t="s">
        <v>819</v>
      </c>
      <c r="NOE97" s="975" t="s">
        <v>819</v>
      </c>
      <c r="NOF97" s="975" t="s">
        <v>819</v>
      </c>
      <c r="NOG97" s="975" t="s">
        <v>819</v>
      </c>
      <c r="NOH97" s="975" t="s">
        <v>819</v>
      </c>
      <c r="NOI97" s="975" t="s">
        <v>819</v>
      </c>
      <c r="NOJ97" s="975" t="s">
        <v>819</v>
      </c>
      <c r="NOK97" s="975" t="s">
        <v>819</v>
      </c>
      <c r="NOL97" s="975" t="s">
        <v>819</v>
      </c>
      <c r="NOM97" s="975" t="s">
        <v>819</v>
      </c>
      <c r="NON97" s="975" t="s">
        <v>819</v>
      </c>
      <c r="NOO97" s="975" t="s">
        <v>819</v>
      </c>
      <c r="NOP97" s="975" t="s">
        <v>819</v>
      </c>
      <c r="NOQ97" s="975" t="s">
        <v>819</v>
      </c>
      <c r="NOR97" s="975" t="s">
        <v>819</v>
      </c>
      <c r="NOS97" s="975" t="s">
        <v>819</v>
      </c>
      <c r="NOT97" s="975" t="s">
        <v>819</v>
      </c>
      <c r="NOU97" s="975" t="s">
        <v>819</v>
      </c>
      <c r="NOV97" s="975" t="s">
        <v>819</v>
      </c>
      <c r="NOW97" s="975" t="s">
        <v>819</v>
      </c>
      <c r="NOX97" s="975" t="s">
        <v>819</v>
      </c>
      <c r="NOY97" s="975" t="s">
        <v>819</v>
      </c>
      <c r="NOZ97" s="975" t="s">
        <v>819</v>
      </c>
      <c r="NPA97" s="975" t="s">
        <v>819</v>
      </c>
      <c r="NPB97" s="975" t="s">
        <v>819</v>
      </c>
      <c r="NPC97" s="975" t="s">
        <v>819</v>
      </c>
      <c r="NPD97" s="975" t="s">
        <v>819</v>
      </c>
      <c r="NPE97" s="975" t="s">
        <v>819</v>
      </c>
      <c r="NPF97" s="975" t="s">
        <v>819</v>
      </c>
      <c r="NPG97" s="975" t="s">
        <v>819</v>
      </c>
      <c r="NPH97" s="975" t="s">
        <v>819</v>
      </c>
      <c r="NPI97" s="975" t="s">
        <v>819</v>
      </c>
      <c r="NPJ97" s="975" t="s">
        <v>819</v>
      </c>
      <c r="NPK97" s="975" t="s">
        <v>819</v>
      </c>
      <c r="NPL97" s="975" t="s">
        <v>819</v>
      </c>
      <c r="NPM97" s="975" t="s">
        <v>819</v>
      </c>
      <c r="NPN97" s="975" t="s">
        <v>819</v>
      </c>
      <c r="NPO97" s="975" t="s">
        <v>819</v>
      </c>
      <c r="NPP97" s="975" t="s">
        <v>819</v>
      </c>
      <c r="NPQ97" s="975" t="s">
        <v>819</v>
      </c>
      <c r="NPR97" s="975" t="s">
        <v>819</v>
      </c>
      <c r="NPS97" s="975" t="s">
        <v>819</v>
      </c>
      <c r="NPT97" s="975" t="s">
        <v>819</v>
      </c>
      <c r="NPU97" s="975" t="s">
        <v>819</v>
      </c>
      <c r="NPV97" s="975" t="s">
        <v>819</v>
      </c>
      <c r="NPW97" s="975" t="s">
        <v>819</v>
      </c>
      <c r="NPX97" s="975" t="s">
        <v>819</v>
      </c>
      <c r="NPY97" s="975" t="s">
        <v>819</v>
      </c>
      <c r="NPZ97" s="975" t="s">
        <v>819</v>
      </c>
      <c r="NQA97" s="975" t="s">
        <v>819</v>
      </c>
      <c r="NQB97" s="975" t="s">
        <v>819</v>
      </c>
      <c r="NQC97" s="975" t="s">
        <v>819</v>
      </c>
      <c r="NQD97" s="975" t="s">
        <v>819</v>
      </c>
      <c r="NQE97" s="975" t="s">
        <v>819</v>
      </c>
      <c r="NQF97" s="975" t="s">
        <v>819</v>
      </c>
      <c r="NQG97" s="975" t="s">
        <v>819</v>
      </c>
      <c r="NQH97" s="975" t="s">
        <v>819</v>
      </c>
      <c r="NQI97" s="975" t="s">
        <v>819</v>
      </c>
      <c r="NQJ97" s="975" t="s">
        <v>819</v>
      </c>
      <c r="NQK97" s="975" t="s">
        <v>819</v>
      </c>
      <c r="NQL97" s="975" t="s">
        <v>819</v>
      </c>
      <c r="NQM97" s="975" t="s">
        <v>819</v>
      </c>
      <c r="NQN97" s="975" t="s">
        <v>819</v>
      </c>
      <c r="NQO97" s="975" t="s">
        <v>819</v>
      </c>
      <c r="NQP97" s="975" t="s">
        <v>819</v>
      </c>
      <c r="NQQ97" s="975" t="s">
        <v>819</v>
      </c>
      <c r="NQR97" s="975" t="s">
        <v>819</v>
      </c>
      <c r="NQS97" s="975" t="s">
        <v>819</v>
      </c>
      <c r="NQT97" s="975" t="s">
        <v>819</v>
      </c>
      <c r="NQU97" s="975" t="s">
        <v>819</v>
      </c>
      <c r="NQV97" s="975" t="s">
        <v>819</v>
      </c>
      <c r="NQW97" s="975" t="s">
        <v>819</v>
      </c>
      <c r="NQX97" s="975" t="s">
        <v>819</v>
      </c>
      <c r="NQY97" s="975" t="s">
        <v>819</v>
      </c>
      <c r="NQZ97" s="975" t="s">
        <v>819</v>
      </c>
      <c r="NRA97" s="975" t="s">
        <v>819</v>
      </c>
      <c r="NRB97" s="975" t="s">
        <v>819</v>
      </c>
      <c r="NRC97" s="975" t="s">
        <v>819</v>
      </c>
      <c r="NRD97" s="975" t="s">
        <v>819</v>
      </c>
      <c r="NRE97" s="975" t="s">
        <v>819</v>
      </c>
      <c r="NRF97" s="975" t="s">
        <v>819</v>
      </c>
      <c r="NRG97" s="975" t="s">
        <v>819</v>
      </c>
      <c r="NRH97" s="975" t="s">
        <v>819</v>
      </c>
      <c r="NRI97" s="975" t="s">
        <v>819</v>
      </c>
      <c r="NRJ97" s="975" t="s">
        <v>819</v>
      </c>
      <c r="NRK97" s="975" t="s">
        <v>819</v>
      </c>
      <c r="NRL97" s="975" t="s">
        <v>819</v>
      </c>
      <c r="NRM97" s="975" t="s">
        <v>819</v>
      </c>
      <c r="NRN97" s="975" t="s">
        <v>819</v>
      </c>
      <c r="NRO97" s="975" t="s">
        <v>819</v>
      </c>
      <c r="NRP97" s="975" t="s">
        <v>819</v>
      </c>
      <c r="NRQ97" s="975" t="s">
        <v>819</v>
      </c>
      <c r="NRR97" s="975" t="s">
        <v>819</v>
      </c>
      <c r="NRS97" s="975" t="s">
        <v>819</v>
      </c>
      <c r="NRT97" s="975" t="s">
        <v>819</v>
      </c>
      <c r="NRU97" s="975" t="s">
        <v>819</v>
      </c>
      <c r="NRV97" s="975" t="s">
        <v>819</v>
      </c>
      <c r="NRW97" s="975" t="s">
        <v>819</v>
      </c>
      <c r="NRX97" s="975" t="s">
        <v>819</v>
      </c>
      <c r="NRY97" s="975" t="s">
        <v>819</v>
      </c>
      <c r="NRZ97" s="975" t="s">
        <v>819</v>
      </c>
      <c r="NSA97" s="975" t="s">
        <v>819</v>
      </c>
      <c r="NSB97" s="975" t="s">
        <v>819</v>
      </c>
      <c r="NSC97" s="975" t="s">
        <v>819</v>
      </c>
      <c r="NSD97" s="975" t="s">
        <v>819</v>
      </c>
      <c r="NSE97" s="975" t="s">
        <v>819</v>
      </c>
      <c r="NSF97" s="975" t="s">
        <v>819</v>
      </c>
      <c r="NSG97" s="975" t="s">
        <v>819</v>
      </c>
      <c r="NSH97" s="975" t="s">
        <v>819</v>
      </c>
      <c r="NSI97" s="975" t="s">
        <v>819</v>
      </c>
      <c r="NSJ97" s="975" t="s">
        <v>819</v>
      </c>
      <c r="NSK97" s="975" t="s">
        <v>819</v>
      </c>
      <c r="NSL97" s="975" t="s">
        <v>819</v>
      </c>
      <c r="NSM97" s="975" t="s">
        <v>819</v>
      </c>
      <c r="NSN97" s="975" t="s">
        <v>819</v>
      </c>
      <c r="NSO97" s="975" t="s">
        <v>819</v>
      </c>
      <c r="NSP97" s="975" t="s">
        <v>819</v>
      </c>
      <c r="NSQ97" s="975" t="s">
        <v>819</v>
      </c>
      <c r="NSR97" s="975" t="s">
        <v>819</v>
      </c>
      <c r="NSS97" s="975" t="s">
        <v>819</v>
      </c>
      <c r="NST97" s="975" t="s">
        <v>819</v>
      </c>
      <c r="NSU97" s="975" t="s">
        <v>819</v>
      </c>
      <c r="NSV97" s="975" t="s">
        <v>819</v>
      </c>
      <c r="NSW97" s="975" t="s">
        <v>819</v>
      </c>
      <c r="NSX97" s="975" t="s">
        <v>819</v>
      </c>
      <c r="NSY97" s="975" t="s">
        <v>819</v>
      </c>
      <c r="NSZ97" s="975" t="s">
        <v>819</v>
      </c>
      <c r="NTA97" s="975" t="s">
        <v>819</v>
      </c>
      <c r="NTB97" s="975" t="s">
        <v>819</v>
      </c>
      <c r="NTC97" s="975" t="s">
        <v>819</v>
      </c>
      <c r="NTD97" s="975" t="s">
        <v>819</v>
      </c>
      <c r="NTE97" s="975" t="s">
        <v>819</v>
      </c>
      <c r="NTF97" s="975" t="s">
        <v>819</v>
      </c>
      <c r="NTG97" s="975" t="s">
        <v>819</v>
      </c>
      <c r="NTH97" s="975" t="s">
        <v>819</v>
      </c>
      <c r="NTI97" s="975" t="s">
        <v>819</v>
      </c>
      <c r="NTJ97" s="975" t="s">
        <v>819</v>
      </c>
      <c r="NTK97" s="975" t="s">
        <v>819</v>
      </c>
      <c r="NTL97" s="975" t="s">
        <v>819</v>
      </c>
      <c r="NTM97" s="975" t="s">
        <v>819</v>
      </c>
      <c r="NTN97" s="975" t="s">
        <v>819</v>
      </c>
      <c r="NTO97" s="975" t="s">
        <v>819</v>
      </c>
      <c r="NTP97" s="975" t="s">
        <v>819</v>
      </c>
      <c r="NTQ97" s="975" t="s">
        <v>819</v>
      </c>
      <c r="NTR97" s="975" t="s">
        <v>819</v>
      </c>
      <c r="NTS97" s="975" t="s">
        <v>819</v>
      </c>
      <c r="NTT97" s="975" t="s">
        <v>819</v>
      </c>
      <c r="NTU97" s="975" t="s">
        <v>819</v>
      </c>
      <c r="NTV97" s="975" t="s">
        <v>819</v>
      </c>
      <c r="NTW97" s="975" t="s">
        <v>819</v>
      </c>
      <c r="NTX97" s="975" t="s">
        <v>819</v>
      </c>
      <c r="NTY97" s="975" t="s">
        <v>819</v>
      </c>
      <c r="NTZ97" s="975" t="s">
        <v>819</v>
      </c>
      <c r="NUA97" s="975" t="s">
        <v>819</v>
      </c>
      <c r="NUB97" s="975" t="s">
        <v>819</v>
      </c>
      <c r="NUC97" s="975" t="s">
        <v>819</v>
      </c>
      <c r="NUD97" s="975" t="s">
        <v>819</v>
      </c>
      <c r="NUE97" s="975" t="s">
        <v>819</v>
      </c>
      <c r="NUF97" s="975" t="s">
        <v>819</v>
      </c>
      <c r="NUG97" s="975" t="s">
        <v>819</v>
      </c>
      <c r="NUH97" s="975" t="s">
        <v>819</v>
      </c>
      <c r="NUI97" s="975" t="s">
        <v>819</v>
      </c>
      <c r="NUJ97" s="975" t="s">
        <v>819</v>
      </c>
      <c r="NUK97" s="975" t="s">
        <v>819</v>
      </c>
      <c r="NUL97" s="975" t="s">
        <v>819</v>
      </c>
      <c r="NUM97" s="975" t="s">
        <v>819</v>
      </c>
      <c r="NUN97" s="975" t="s">
        <v>819</v>
      </c>
      <c r="NUO97" s="975" t="s">
        <v>819</v>
      </c>
      <c r="NUP97" s="975" t="s">
        <v>819</v>
      </c>
      <c r="NUQ97" s="975" t="s">
        <v>819</v>
      </c>
      <c r="NUR97" s="975" t="s">
        <v>819</v>
      </c>
      <c r="NUS97" s="975" t="s">
        <v>819</v>
      </c>
      <c r="NUT97" s="975" t="s">
        <v>819</v>
      </c>
      <c r="NUU97" s="975" t="s">
        <v>819</v>
      </c>
      <c r="NUV97" s="975" t="s">
        <v>819</v>
      </c>
      <c r="NUW97" s="975" t="s">
        <v>819</v>
      </c>
      <c r="NUX97" s="975" t="s">
        <v>819</v>
      </c>
      <c r="NUY97" s="975" t="s">
        <v>819</v>
      </c>
      <c r="NUZ97" s="975" t="s">
        <v>819</v>
      </c>
      <c r="NVA97" s="975" t="s">
        <v>819</v>
      </c>
      <c r="NVB97" s="975" t="s">
        <v>819</v>
      </c>
      <c r="NVC97" s="975" t="s">
        <v>819</v>
      </c>
      <c r="NVD97" s="975" t="s">
        <v>819</v>
      </c>
      <c r="NVE97" s="975" t="s">
        <v>819</v>
      </c>
      <c r="NVF97" s="975" t="s">
        <v>819</v>
      </c>
      <c r="NVG97" s="975" t="s">
        <v>819</v>
      </c>
      <c r="NVH97" s="975" t="s">
        <v>819</v>
      </c>
      <c r="NVI97" s="975" t="s">
        <v>819</v>
      </c>
      <c r="NVJ97" s="975" t="s">
        <v>819</v>
      </c>
      <c r="NVK97" s="975" t="s">
        <v>819</v>
      </c>
      <c r="NVL97" s="975" t="s">
        <v>819</v>
      </c>
      <c r="NVM97" s="975" t="s">
        <v>819</v>
      </c>
      <c r="NVN97" s="975" t="s">
        <v>819</v>
      </c>
      <c r="NVO97" s="975" t="s">
        <v>819</v>
      </c>
      <c r="NVP97" s="975" t="s">
        <v>819</v>
      </c>
      <c r="NVQ97" s="975" t="s">
        <v>819</v>
      </c>
      <c r="NVR97" s="975" t="s">
        <v>819</v>
      </c>
      <c r="NVS97" s="975" t="s">
        <v>819</v>
      </c>
      <c r="NVT97" s="975" t="s">
        <v>819</v>
      </c>
      <c r="NVU97" s="975" t="s">
        <v>819</v>
      </c>
      <c r="NVV97" s="975" t="s">
        <v>819</v>
      </c>
      <c r="NVW97" s="975" t="s">
        <v>819</v>
      </c>
      <c r="NVX97" s="975" t="s">
        <v>819</v>
      </c>
      <c r="NVY97" s="975" t="s">
        <v>819</v>
      </c>
      <c r="NVZ97" s="975" t="s">
        <v>819</v>
      </c>
      <c r="NWA97" s="975" t="s">
        <v>819</v>
      </c>
      <c r="NWB97" s="975" t="s">
        <v>819</v>
      </c>
      <c r="NWC97" s="975" t="s">
        <v>819</v>
      </c>
      <c r="NWD97" s="975" t="s">
        <v>819</v>
      </c>
      <c r="NWE97" s="975" t="s">
        <v>819</v>
      </c>
      <c r="NWF97" s="975" t="s">
        <v>819</v>
      </c>
      <c r="NWG97" s="975" t="s">
        <v>819</v>
      </c>
      <c r="NWH97" s="975" t="s">
        <v>819</v>
      </c>
      <c r="NWI97" s="975" t="s">
        <v>819</v>
      </c>
      <c r="NWJ97" s="975" t="s">
        <v>819</v>
      </c>
      <c r="NWK97" s="975" t="s">
        <v>819</v>
      </c>
      <c r="NWL97" s="975" t="s">
        <v>819</v>
      </c>
      <c r="NWM97" s="975" t="s">
        <v>819</v>
      </c>
      <c r="NWN97" s="975" t="s">
        <v>819</v>
      </c>
      <c r="NWO97" s="975" t="s">
        <v>819</v>
      </c>
      <c r="NWP97" s="975" t="s">
        <v>819</v>
      </c>
      <c r="NWQ97" s="975" t="s">
        <v>819</v>
      </c>
      <c r="NWR97" s="975" t="s">
        <v>819</v>
      </c>
      <c r="NWS97" s="975" t="s">
        <v>819</v>
      </c>
      <c r="NWT97" s="975" t="s">
        <v>819</v>
      </c>
      <c r="NWU97" s="975" t="s">
        <v>819</v>
      </c>
      <c r="NWV97" s="975" t="s">
        <v>819</v>
      </c>
      <c r="NWW97" s="975" t="s">
        <v>819</v>
      </c>
      <c r="NWX97" s="975" t="s">
        <v>819</v>
      </c>
      <c r="NWY97" s="975" t="s">
        <v>819</v>
      </c>
      <c r="NWZ97" s="975" t="s">
        <v>819</v>
      </c>
      <c r="NXA97" s="975" t="s">
        <v>819</v>
      </c>
      <c r="NXB97" s="975" t="s">
        <v>819</v>
      </c>
      <c r="NXC97" s="975" t="s">
        <v>819</v>
      </c>
      <c r="NXD97" s="975" t="s">
        <v>819</v>
      </c>
      <c r="NXE97" s="975" t="s">
        <v>819</v>
      </c>
      <c r="NXF97" s="975" t="s">
        <v>819</v>
      </c>
      <c r="NXG97" s="975" t="s">
        <v>819</v>
      </c>
      <c r="NXH97" s="975" t="s">
        <v>819</v>
      </c>
      <c r="NXI97" s="975" t="s">
        <v>819</v>
      </c>
      <c r="NXJ97" s="975" t="s">
        <v>819</v>
      </c>
      <c r="NXK97" s="975" t="s">
        <v>819</v>
      </c>
      <c r="NXL97" s="975" t="s">
        <v>819</v>
      </c>
      <c r="NXM97" s="975" t="s">
        <v>819</v>
      </c>
      <c r="NXN97" s="975" t="s">
        <v>819</v>
      </c>
      <c r="NXO97" s="975" t="s">
        <v>819</v>
      </c>
      <c r="NXP97" s="975" t="s">
        <v>819</v>
      </c>
      <c r="NXQ97" s="975" t="s">
        <v>819</v>
      </c>
      <c r="NXR97" s="975" t="s">
        <v>819</v>
      </c>
      <c r="NXS97" s="975" t="s">
        <v>819</v>
      </c>
      <c r="NXT97" s="975" t="s">
        <v>819</v>
      </c>
      <c r="NXU97" s="975" t="s">
        <v>819</v>
      </c>
      <c r="NXV97" s="975" t="s">
        <v>819</v>
      </c>
      <c r="NXW97" s="975" t="s">
        <v>819</v>
      </c>
      <c r="NXX97" s="975" t="s">
        <v>819</v>
      </c>
      <c r="NXY97" s="975" t="s">
        <v>819</v>
      </c>
      <c r="NXZ97" s="975" t="s">
        <v>819</v>
      </c>
      <c r="NYA97" s="975" t="s">
        <v>819</v>
      </c>
      <c r="NYB97" s="975" t="s">
        <v>819</v>
      </c>
      <c r="NYC97" s="975" t="s">
        <v>819</v>
      </c>
      <c r="NYD97" s="975" t="s">
        <v>819</v>
      </c>
      <c r="NYE97" s="975" t="s">
        <v>819</v>
      </c>
      <c r="NYF97" s="975" t="s">
        <v>819</v>
      </c>
      <c r="NYG97" s="975" t="s">
        <v>819</v>
      </c>
      <c r="NYH97" s="975" t="s">
        <v>819</v>
      </c>
      <c r="NYI97" s="975" t="s">
        <v>819</v>
      </c>
      <c r="NYJ97" s="975" t="s">
        <v>819</v>
      </c>
      <c r="NYK97" s="975" t="s">
        <v>819</v>
      </c>
      <c r="NYL97" s="975" t="s">
        <v>819</v>
      </c>
      <c r="NYM97" s="975" t="s">
        <v>819</v>
      </c>
      <c r="NYN97" s="975" t="s">
        <v>819</v>
      </c>
      <c r="NYO97" s="975" t="s">
        <v>819</v>
      </c>
      <c r="NYP97" s="975" t="s">
        <v>819</v>
      </c>
      <c r="NYQ97" s="975" t="s">
        <v>819</v>
      </c>
      <c r="NYR97" s="975" t="s">
        <v>819</v>
      </c>
      <c r="NYS97" s="975" t="s">
        <v>819</v>
      </c>
      <c r="NYT97" s="975" t="s">
        <v>819</v>
      </c>
      <c r="NYU97" s="975" t="s">
        <v>819</v>
      </c>
      <c r="NYV97" s="975" t="s">
        <v>819</v>
      </c>
      <c r="NYW97" s="975" t="s">
        <v>819</v>
      </c>
      <c r="NYX97" s="975" t="s">
        <v>819</v>
      </c>
      <c r="NYY97" s="975" t="s">
        <v>819</v>
      </c>
      <c r="NYZ97" s="975" t="s">
        <v>819</v>
      </c>
      <c r="NZA97" s="975" t="s">
        <v>819</v>
      </c>
      <c r="NZB97" s="975" t="s">
        <v>819</v>
      </c>
      <c r="NZC97" s="975" t="s">
        <v>819</v>
      </c>
      <c r="NZD97" s="975" t="s">
        <v>819</v>
      </c>
      <c r="NZE97" s="975" t="s">
        <v>819</v>
      </c>
      <c r="NZF97" s="975" t="s">
        <v>819</v>
      </c>
      <c r="NZG97" s="975" t="s">
        <v>819</v>
      </c>
      <c r="NZH97" s="975" t="s">
        <v>819</v>
      </c>
      <c r="NZI97" s="975" t="s">
        <v>819</v>
      </c>
      <c r="NZJ97" s="975" t="s">
        <v>819</v>
      </c>
      <c r="NZK97" s="975" t="s">
        <v>819</v>
      </c>
      <c r="NZL97" s="975" t="s">
        <v>819</v>
      </c>
      <c r="NZM97" s="975" t="s">
        <v>819</v>
      </c>
      <c r="NZN97" s="975" t="s">
        <v>819</v>
      </c>
      <c r="NZO97" s="975" t="s">
        <v>819</v>
      </c>
      <c r="NZP97" s="975" t="s">
        <v>819</v>
      </c>
      <c r="NZQ97" s="975" t="s">
        <v>819</v>
      </c>
      <c r="NZR97" s="975" t="s">
        <v>819</v>
      </c>
      <c r="NZS97" s="975" t="s">
        <v>819</v>
      </c>
      <c r="NZT97" s="975" t="s">
        <v>819</v>
      </c>
      <c r="NZU97" s="975" t="s">
        <v>819</v>
      </c>
      <c r="NZV97" s="975" t="s">
        <v>819</v>
      </c>
      <c r="NZW97" s="975" t="s">
        <v>819</v>
      </c>
      <c r="NZX97" s="975" t="s">
        <v>819</v>
      </c>
      <c r="NZY97" s="975" t="s">
        <v>819</v>
      </c>
      <c r="NZZ97" s="975" t="s">
        <v>819</v>
      </c>
      <c r="OAA97" s="975" t="s">
        <v>819</v>
      </c>
      <c r="OAB97" s="975" t="s">
        <v>819</v>
      </c>
      <c r="OAC97" s="975" t="s">
        <v>819</v>
      </c>
      <c r="OAD97" s="975" t="s">
        <v>819</v>
      </c>
      <c r="OAE97" s="975" t="s">
        <v>819</v>
      </c>
      <c r="OAF97" s="975" t="s">
        <v>819</v>
      </c>
      <c r="OAG97" s="975" t="s">
        <v>819</v>
      </c>
      <c r="OAH97" s="975" t="s">
        <v>819</v>
      </c>
      <c r="OAI97" s="975" t="s">
        <v>819</v>
      </c>
      <c r="OAJ97" s="975" t="s">
        <v>819</v>
      </c>
      <c r="OAK97" s="975" t="s">
        <v>819</v>
      </c>
      <c r="OAL97" s="975" t="s">
        <v>819</v>
      </c>
      <c r="OAM97" s="975" t="s">
        <v>819</v>
      </c>
      <c r="OAN97" s="975" t="s">
        <v>819</v>
      </c>
      <c r="OAO97" s="975" t="s">
        <v>819</v>
      </c>
      <c r="OAP97" s="975" t="s">
        <v>819</v>
      </c>
      <c r="OAQ97" s="975" t="s">
        <v>819</v>
      </c>
      <c r="OAR97" s="975" t="s">
        <v>819</v>
      </c>
      <c r="OAS97" s="975" t="s">
        <v>819</v>
      </c>
      <c r="OAT97" s="975" t="s">
        <v>819</v>
      </c>
      <c r="OAU97" s="975" t="s">
        <v>819</v>
      </c>
      <c r="OAV97" s="975" t="s">
        <v>819</v>
      </c>
      <c r="OAW97" s="975" t="s">
        <v>819</v>
      </c>
      <c r="OAX97" s="975" t="s">
        <v>819</v>
      </c>
      <c r="OAY97" s="975" t="s">
        <v>819</v>
      </c>
      <c r="OAZ97" s="975" t="s">
        <v>819</v>
      </c>
      <c r="OBA97" s="975" t="s">
        <v>819</v>
      </c>
      <c r="OBB97" s="975" t="s">
        <v>819</v>
      </c>
      <c r="OBC97" s="975" t="s">
        <v>819</v>
      </c>
      <c r="OBD97" s="975" t="s">
        <v>819</v>
      </c>
      <c r="OBE97" s="975" t="s">
        <v>819</v>
      </c>
      <c r="OBF97" s="975" t="s">
        <v>819</v>
      </c>
      <c r="OBG97" s="975" t="s">
        <v>819</v>
      </c>
      <c r="OBH97" s="975" t="s">
        <v>819</v>
      </c>
      <c r="OBI97" s="975" t="s">
        <v>819</v>
      </c>
      <c r="OBJ97" s="975" t="s">
        <v>819</v>
      </c>
      <c r="OBK97" s="975" t="s">
        <v>819</v>
      </c>
      <c r="OBL97" s="975" t="s">
        <v>819</v>
      </c>
      <c r="OBM97" s="975" t="s">
        <v>819</v>
      </c>
      <c r="OBN97" s="975" t="s">
        <v>819</v>
      </c>
      <c r="OBO97" s="975" t="s">
        <v>819</v>
      </c>
      <c r="OBP97" s="975" t="s">
        <v>819</v>
      </c>
      <c r="OBQ97" s="975" t="s">
        <v>819</v>
      </c>
      <c r="OBR97" s="975" t="s">
        <v>819</v>
      </c>
      <c r="OBS97" s="975" t="s">
        <v>819</v>
      </c>
      <c r="OBT97" s="975" t="s">
        <v>819</v>
      </c>
      <c r="OBU97" s="975" t="s">
        <v>819</v>
      </c>
      <c r="OBV97" s="975" t="s">
        <v>819</v>
      </c>
      <c r="OBW97" s="975" t="s">
        <v>819</v>
      </c>
      <c r="OBX97" s="975" t="s">
        <v>819</v>
      </c>
      <c r="OBY97" s="975" t="s">
        <v>819</v>
      </c>
      <c r="OBZ97" s="975" t="s">
        <v>819</v>
      </c>
      <c r="OCA97" s="975" t="s">
        <v>819</v>
      </c>
      <c r="OCB97" s="975" t="s">
        <v>819</v>
      </c>
      <c r="OCC97" s="975" t="s">
        <v>819</v>
      </c>
      <c r="OCD97" s="975" t="s">
        <v>819</v>
      </c>
      <c r="OCE97" s="975" t="s">
        <v>819</v>
      </c>
      <c r="OCF97" s="975" t="s">
        <v>819</v>
      </c>
      <c r="OCG97" s="975" t="s">
        <v>819</v>
      </c>
      <c r="OCH97" s="975" t="s">
        <v>819</v>
      </c>
      <c r="OCI97" s="975" t="s">
        <v>819</v>
      </c>
      <c r="OCJ97" s="975" t="s">
        <v>819</v>
      </c>
      <c r="OCK97" s="975" t="s">
        <v>819</v>
      </c>
      <c r="OCL97" s="975" t="s">
        <v>819</v>
      </c>
      <c r="OCM97" s="975" t="s">
        <v>819</v>
      </c>
      <c r="OCN97" s="975" t="s">
        <v>819</v>
      </c>
      <c r="OCO97" s="975" t="s">
        <v>819</v>
      </c>
      <c r="OCP97" s="975" t="s">
        <v>819</v>
      </c>
      <c r="OCQ97" s="975" t="s">
        <v>819</v>
      </c>
      <c r="OCR97" s="975" t="s">
        <v>819</v>
      </c>
      <c r="OCS97" s="975" t="s">
        <v>819</v>
      </c>
      <c r="OCT97" s="975" t="s">
        <v>819</v>
      </c>
      <c r="OCU97" s="975" t="s">
        <v>819</v>
      </c>
      <c r="OCV97" s="975" t="s">
        <v>819</v>
      </c>
      <c r="OCW97" s="975" t="s">
        <v>819</v>
      </c>
      <c r="OCX97" s="975" t="s">
        <v>819</v>
      </c>
      <c r="OCY97" s="975" t="s">
        <v>819</v>
      </c>
      <c r="OCZ97" s="975" t="s">
        <v>819</v>
      </c>
      <c r="ODA97" s="975" t="s">
        <v>819</v>
      </c>
      <c r="ODB97" s="975" t="s">
        <v>819</v>
      </c>
      <c r="ODC97" s="975" t="s">
        <v>819</v>
      </c>
      <c r="ODD97" s="975" t="s">
        <v>819</v>
      </c>
      <c r="ODE97" s="975" t="s">
        <v>819</v>
      </c>
      <c r="ODF97" s="975" t="s">
        <v>819</v>
      </c>
      <c r="ODG97" s="975" t="s">
        <v>819</v>
      </c>
      <c r="ODH97" s="975" t="s">
        <v>819</v>
      </c>
      <c r="ODI97" s="975" t="s">
        <v>819</v>
      </c>
      <c r="ODJ97" s="975" t="s">
        <v>819</v>
      </c>
      <c r="ODK97" s="975" t="s">
        <v>819</v>
      </c>
      <c r="ODL97" s="975" t="s">
        <v>819</v>
      </c>
      <c r="ODM97" s="975" t="s">
        <v>819</v>
      </c>
      <c r="ODN97" s="975" t="s">
        <v>819</v>
      </c>
      <c r="ODO97" s="975" t="s">
        <v>819</v>
      </c>
      <c r="ODP97" s="975" t="s">
        <v>819</v>
      </c>
      <c r="ODQ97" s="975" t="s">
        <v>819</v>
      </c>
      <c r="ODR97" s="975" t="s">
        <v>819</v>
      </c>
      <c r="ODS97" s="975" t="s">
        <v>819</v>
      </c>
      <c r="ODT97" s="975" t="s">
        <v>819</v>
      </c>
      <c r="ODU97" s="975" t="s">
        <v>819</v>
      </c>
      <c r="ODV97" s="975" t="s">
        <v>819</v>
      </c>
      <c r="ODW97" s="975" t="s">
        <v>819</v>
      </c>
      <c r="ODX97" s="975" t="s">
        <v>819</v>
      </c>
      <c r="ODY97" s="975" t="s">
        <v>819</v>
      </c>
      <c r="ODZ97" s="975" t="s">
        <v>819</v>
      </c>
      <c r="OEA97" s="975" t="s">
        <v>819</v>
      </c>
      <c r="OEB97" s="975" t="s">
        <v>819</v>
      </c>
      <c r="OEC97" s="975" t="s">
        <v>819</v>
      </c>
      <c r="OED97" s="975" t="s">
        <v>819</v>
      </c>
      <c r="OEE97" s="975" t="s">
        <v>819</v>
      </c>
      <c r="OEF97" s="975" t="s">
        <v>819</v>
      </c>
      <c r="OEG97" s="975" t="s">
        <v>819</v>
      </c>
      <c r="OEH97" s="975" t="s">
        <v>819</v>
      </c>
      <c r="OEI97" s="975" t="s">
        <v>819</v>
      </c>
      <c r="OEJ97" s="975" t="s">
        <v>819</v>
      </c>
      <c r="OEK97" s="975" t="s">
        <v>819</v>
      </c>
      <c r="OEL97" s="975" t="s">
        <v>819</v>
      </c>
      <c r="OEM97" s="975" t="s">
        <v>819</v>
      </c>
      <c r="OEN97" s="975" t="s">
        <v>819</v>
      </c>
      <c r="OEO97" s="975" t="s">
        <v>819</v>
      </c>
      <c r="OEP97" s="975" t="s">
        <v>819</v>
      </c>
      <c r="OEQ97" s="975" t="s">
        <v>819</v>
      </c>
      <c r="OER97" s="975" t="s">
        <v>819</v>
      </c>
      <c r="OES97" s="975" t="s">
        <v>819</v>
      </c>
      <c r="OET97" s="975" t="s">
        <v>819</v>
      </c>
      <c r="OEU97" s="975" t="s">
        <v>819</v>
      </c>
      <c r="OEV97" s="975" t="s">
        <v>819</v>
      </c>
      <c r="OEW97" s="975" t="s">
        <v>819</v>
      </c>
      <c r="OEX97" s="975" t="s">
        <v>819</v>
      </c>
      <c r="OEY97" s="975" t="s">
        <v>819</v>
      </c>
      <c r="OEZ97" s="975" t="s">
        <v>819</v>
      </c>
      <c r="OFA97" s="975" t="s">
        <v>819</v>
      </c>
      <c r="OFB97" s="975" t="s">
        <v>819</v>
      </c>
      <c r="OFC97" s="975" t="s">
        <v>819</v>
      </c>
      <c r="OFD97" s="975" t="s">
        <v>819</v>
      </c>
      <c r="OFE97" s="975" t="s">
        <v>819</v>
      </c>
      <c r="OFF97" s="975" t="s">
        <v>819</v>
      </c>
      <c r="OFG97" s="975" t="s">
        <v>819</v>
      </c>
      <c r="OFH97" s="975" t="s">
        <v>819</v>
      </c>
      <c r="OFI97" s="975" t="s">
        <v>819</v>
      </c>
      <c r="OFJ97" s="975" t="s">
        <v>819</v>
      </c>
      <c r="OFK97" s="975" t="s">
        <v>819</v>
      </c>
      <c r="OFL97" s="975" t="s">
        <v>819</v>
      </c>
      <c r="OFM97" s="975" t="s">
        <v>819</v>
      </c>
      <c r="OFN97" s="975" t="s">
        <v>819</v>
      </c>
      <c r="OFO97" s="975" t="s">
        <v>819</v>
      </c>
      <c r="OFP97" s="975" t="s">
        <v>819</v>
      </c>
      <c r="OFQ97" s="975" t="s">
        <v>819</v>
      </c>
      <c r="OFR97" s="975" t="s">
        <v>819</v>
      </c>
      <c r="OFS97" s="975" t="s">
        <v>819</v>
      </c>
      <c r="OFT97" s="975" t="s">
        <v>819</v>
      </c>
      <c r="OFU97" s="975" t="s">
        <v>819</v>
      </c>
      <c r="OFV97" s="975" t="s">
        <v>819</v>
      </c>
      <c r="OFW97" s="975" t="s">
        <v>819</v>
      </c>
      <c r="OFX97" s="975" t="s">
        <v>819</v>
      </c>
      <c r="OFY97" s="975" t="s">
        <v>819</v>
      </c>
      <c r="OFZ97" s="975" t="s">
        <v>819</v>
      </c>
      <c r="OGA97" s="975" t="s">
        <v>819</v>
      </c>
      <c r="OGB97" s="975" t="s">
        <v>819</v>
      </c>
      <c r="OGC97" s="975" t="s">
        <v>819</v>
      </c>
      <c r="OGD97" s="975" t="s">
        <v>819</v>
      </c>
      <c r="OGE97" s="975" t="s">
        <v>819</v>
      </c>
      <c r="OGF97" s="975" t="s">
        <v>819</v>
      </c>
      <c r="OGG97" s="975" t="s">
        <v>819</v>
      </c>
      <c r="OGH97" s="975" t="s">
        <v>819</v>
      </c>
      <c r="OGI97" s="975" t="s">
        <v>819</v>
      </c>
      <c r="OGJ97" s="975" t="s">
        <v>819</v>
      </c>
      <c r="OGK97" s="975" t="s">
        <v>819</v>
      </c>
      <c r="OGL97" s="975" t="s">
        <v>819</v>
      </c>
      <c r="OGM97" s="975" t="s">
        <v>819</v>
      </c>
      <c r="OGN97" s="975" t="s">
        <v>819</v>
      </c>
      <c r="OGO97" s="975" t="s">
        <v>819</v>
      </c>
      <c r="OGP97" s="975" t="s">
        <v>819</v>
      </c>
      <c r="OGQ97" s="975" t="s">
        <v>819</v>
      </c>
      <c r="OGR97" s="975" t="s">
        <v>819</v>
      </c>
      <c r="OGS97" s="975" t="s">
        <v>819</v>
      </c>
      <c r="OGT97" s="975" t="s">
        <v>819</v>
      </c>
      <c r="OGU97" s="975" t="s">
        <v>819</v>
      </c>
      <c r="OGV97" s="975" t="s">
        <v>819</v>
      </c>
      <c r="OGW97" s="975" t="s">
        <v>819</v>
      </c>
      <c r="OGX97" s="975" t="s">
        <v>819</v>
      </c>
      <c r="OGY97" s="975" t="s">
        <v>819</v>
      </c>
      <c r="OGZ97" s="975" t="s">
        <v>819</v>
      </c>
      <c r="OHA97" s="975" t="s">
        <v>819</v>
      </c>
      <c r="OHB97" s="975" t="s">
        <v>819</v>
      </c>
      <c r="OHC97" s="975" t="s">
        <v>819</v>
      </c>
      <c r="OHD97" s="975" t="s">
        <v>819</v>
      </c>
      <c r="OHE97" s="975" t="s">
        <v>819</v>
      </c>
      <c r="OHF97" s="975" t="s">
        <v>819</v>
      </c>
      <c r="OHG97" s="975" t="s">
        <v>819</v>
      </c>
      <c r="OHH97" s="975" t="s">
        <v>819</v>
      </c>
      <c r="OHI97" s="975" t="s">
        <v>819</v>
      </c>
      <c r="OHJ97" s="975" t="s">
        <v>819</v>
      </c>
      <c r="OHK97" s="975" t="s">
        <v>819</v>
      </c>
      <c r="OHL97" s="975" t="s">
        <v>819</v>
      </c>
      <c r="OHM97" s="975" t="s">
        <v>819</v>
      </c>
      <c r="OHN97" s="975" t="s">
        <v>819</v>
      </c>
      <c r="OHO97" s="975" t="s">
        <v>819</v>
      </c>
      <c r="OHP97" s="975" t="s">
        <v>819</v>
      </c>
      <c r="OHQ97" s="975" t="s">
        <v>819</v>
      </c>
      <c r="OHR97" s="975" t="s">
        <v>819</v>
      </c>
      <c r="OHS97" s="975" t="s">
        <v>819</v>
      </c>
      <c r="OHT97" s="975" t="s">
        <v>819</v>
      </c>
      <c r="OHU97" s="975" t="s">
        <v>819</v>
      </c>
      <c r="OHV97" s="975" t="s">
        <v>819</v>
      </c>
      <c r="OHW97" s="975" t="s">
        <v>819</v>
      </c>
      <c r="OHX97" s="975" t="s">
        <v>819</v>
      </c>
      <c r="OHY97" s="975" t="s">
        <v>819</v>
      </c>
      <c r="OHZ97" s="975" t="s">
        <v>819</v>
      </c>
      <c r="OIA97" s="975" t="s">
        <v>819</v>
      </c>
      <c r="OIB97" s="975" t="s">
        <v>819</v>
      </c>
      <c r="OIC97" s="975" t="s">
        <v>819</v>
      </c>
      <c r="OID97" s="975" t="s">
        <v>819</v>
      </c>
      <c r="OIE97" s="975" t="s">
        <v>819</v>
      </c>
      <c r="OIF97" s="975" t="s">
        <v>819</v>
      </c>
      <c r="OIG97" s="975" t="s">
        <v>819</v>
      </c>
      <c r="OIH97" s="975" t="s">
        <v>819</v>
      </c>
      <c r="OII97" s="975" t="s">
        <v>819</v>
      </c>
      <c r="OIJ97" s="975" t="s">
        <v>819</v>
      </c>
      <c r="OIK97" s="975" t="s">
        <v>819</v>
      </c>
      <c r="OIL97" s="975" t="s">
        <v>819</v>
      </c>
      <c r="OIM97" s="975" t="s">
        <v>819</v>
      </c>
      <c r="OIN97" s="975" t="s">
        <v>819</v>
      </c>
      <c r="OIO97" s="975" t="s">
        <v>819</v>
      </c>
      <c r="OIP97" s="975" t="s">
        <v>819</v>
      </c>
      <c r="OIQ97" s="975" t="s">
        <v>819</v>
      </c>
      <c r="OIR97" s="975" t="s">
        <v>819</v>
      </c>
      <c r="OIS97" s="975" t="s">
        <v>819</v>
      </c>
      <c r="OIT97" s="975" t="s">
        <v>819</v>
      </c>
      <c r="OIU97" s="975" t="s">
        <v>819</v>
      </c>
      <c r="OIV97" s="975" t="s">
        <v>819</v>
      </c>
      <c r="OIW97" s="975" t="s">
        <v>819</v>
      </c>
      <c r="OIX97" s="975" t="s">
        <v>819</v>
      </c>
      <c r="OIY97" s="975" t="s">
        <v>819</v>
      </c>
      <c r="OIZ97" s="975" t="s">
        <v>819</v>
      </c>
      <c r="OJA97" s="975" t="s">
        <v>819</v>
      </c>
      <c r="OJB97" s="975" t="s">
        <v>819</v>
      </c>
      <c r="OJC97" s="975" t="s">
        <v>819</v>
      </c>
      <c r="OJD97" s="975" t="s">
        <v>819</v>
      </c>
      <c r="OJE97" s="975" t="s">
        <v>819</v>
      </c>
      <c r="OJF97" s="975" t="s">
        <v>819</v>
      </c>
      <c r="OJG97" s="975" t="s">
        <v>819</v>
      </c>
      <c r="OJH97" s="975" t="s">
        <v>819</v>
      </c>
      <c r="OJI97" s="975" t="s">
        <v>819</v>
      </c>
      <c r="OJJ97" s="975" t="s">
        <v>819</v>
      </c>
      <c r="OJK97" s="975" t="s">
        <v>819</v>
      </c>
      <c r="OJL97" s="975" t="s">
        <v>819</v>
      </c>
      <c r="OJM97" s="975" t="s">
        <v>819</v>
      </c>
      <c r="OJN97" s="975" t="s">
        <v>819</v>
      </c>
      <c r="OJO97" s="975" t="s">
        <v>819</v>
      </c>
      <c r="OJP97" s="975" t="s">
        <v>819</v>
      </c>
      <c r="OJQ97" s="975" t="s">
        <v>819</v>
      </c>
      <c r="OJR97" s="975" t="s">
        <v>819</v>
      </c>
      <c r="OJS97" s="975" t="s">
        <v>819</v>
      </c>
      <c r="OJT97" s="975" t="s">
        <v>819</v>
      </c>
      <c r="OJU97" s="975" t="s">
        <v>819</v>
      </c>
      <c r="OJV97" s="975" t="s">
        <v>819</v>
      </c>
      <c r="OJW97" s="975" t="s">
        <v>819</v>
      </c>
      <c r="OJX97" s="975" t="s">
        <v>819</v>
      </c>
      <c r="OJY97" s="975" t="s">
        <v>819</v>
      </c>
      <c r="OJZ97" s="975" t="s">
        <v>819</v>
      </c>
      <c r="OKA97" s="975" t="s">
        <v>819</v>
      </c>
      <c r="OKB97" s="975" t="s">
        <v>819</v>
      </c>
      <c r="OKC97" s="975" t="s">
        <v>819</v>
      </c>
      <c r="OKD97" s="975" t="s">
        <v>819</v>
      </c>
      <c r="OKE97" s="975" t="s">
        <v>819</v>
      </c>
      <c r="OKF97" s="975" t="s">
        <v>819</v>
      </c>
      <c r="OKG97" s="975" t="s">
        <v>819</v>
      </c>
      <c r="OKH97" s="975" t="s">
        <v>819</v>
      </c>
      <c r="OKI97" s="975" t="s">
        <v>819</v>
      </c>
      <c r="OKJ97" s="975" t="s">
        <v>819</v>
      </c>
      <c r="OKK97" s="975" t="s">
        <v>819</v>
      </c>
      <c r="OKL97" s="975" t="s">
        <v>819</v>
      </c>
      <c r="OKM97" s="975" t="s">
        <v>819</v>
      </c>
      <c r="OKN97" s="975" t="s">
        <v>819</v>
      </c>
      <c r="OKO97" s="975" t="s">
        <v>819</v>
      </c>
      <c r="OKP97" s="975" t="s">
        <v>819</v>
      </c>
      <c r="OKQ97" s="975" t="s">
        <v>819</v>
      </c>
      <c r="OKR97" s="975" t="s">
        <v>819</v>
      </c>
      <c r="OKS97" s="975" t="s">
        <v>819</v>
      </c>
      <c r="OKT97" s="975" t="s">
        <v>819</v>
      </c>
      <c r="OKU97" s="975" t="s">
        <v>819</v>
      </c>
      <c r="OKV97" s="975" t="s">
        <v>819</v>
      </c>
      <c r="OKW97" s="975" t="s">
        <v>819</v>
      </c>
      <c r="OKX97" s="975" t="s">
        <v>819</v>
      </c>
      <c r="OKY97" s="975" t="s">
        <v>819</v>
      </c>
      <c r="OKZ97" s="975" t="s">
        <v>819</v>
      </c>
      <c r="OLA97" s="975" t="s">
        <v>819</v>
      </c>
      <c r="OLB97" s="975" t="s">
        <v>819</v>
      </c>
      <c r="OLC97" s="975" t="s">
        <v>819</v>
      </c>
      <c r="OLD97" s="975" t="s">
        <v>819</v>
      </c>
      <c r="OLE97" s="975" t="s">
        <v>819</v>
      </c>
      <c r="OLF97" s="975" t="s">
        <v>819</v>
      </c>
      <c r="OLG97" s="975" t="s">
        <v>819</v>
      </c>
      <c r="OLH97" s="975" t="s">
        <v>819</v>
      </c>
      <c r="OLI97" s="975" t="s">
        <v>819</v>
      </c>
      <c r="OLJ97" s="975" t="s">
        <v>819</v>
      </c>
      <c r="OLK97" s="975" t="s">
        <v>819</v>
      </c>
      <c r="OLL97" s="975" t="s">
        <v>819</v>
      </c>
      <c r="OLM97" s="975" t="s">
        <v>819</v>
      </c>
      <c r="OLN97" s="975" t="s">
        <v>819</v>
      </c>
      <c r="OLO97" s="975" t="s">
        <v>819</v>
      </c>
      <c r="OLP97" s="975" t="s">
        <v>819</v>
      </c>
      <c r="OLQ97" s="975" t="s">
        <v>819</v>
      </c>
      <c r="OLR97" s="975" t="s">
        <v>819</v>
      </c>
      <c r="OLS97" s="975" t="s">
        <v>819</v>
      </c>
      <c r="OLT97" s="975" t="s">
        <v>819</v>
      </c>
      <c r="OLU97" s="975" t="s">
        <v>819</v>
      </c>
      <c r="OLV97" s="975" t="s">
        <v>819</v>
      </c>
      <c r="OLW97" s="975" t="s">
        <v>819</v>
      </c>
      <c r="OLX97" s="975" t="s">
        <v>819</v>
      </c>
      <c r="OLY97" s="975" t="s">
        <v>819</v>
      </c>
      <c r="OLZ97" s="975" t="s">
        <v>819</v>
      </c>
      <c r="OMA97" s="975" t="s">
        <v>819</v>
      </c>
      <c r="OMB97" s="975" t="s">
        <v>819</v>
      </c>
      <c r="OMC97" s="975" t="s">
        <v>819</v>
      </c>
      <c r="OMD97" s="975" t="s">
        <v>819</v>
      </c>
      <c r="OME97" s="975" t="s">
        <v>819</v>
      </c>
      <c r="OMF97" s="975" t="s">
        <v>819</v>
      </c>
      <c r="OMG97" s="975" t="s">
        <v>819</v>
      </c>
      <c r="OMH97" s="975" t="s">
        <v>819</v>
      </c>
      <c r="OMI97" s="975" t="s">
        <v>819</v>
      </c>
      <c r="OMJ97" s="975" t="s">
        <v>819</v>
      </c>
      <c r="OMK97" s="975" t="s">
        <v>819</v>
      </c>
      <c r="OML97" s="975" t="s">
        <v>819</v>
      </c>
      <c r="OMM97" s="975" t="s">
        <v>819</v>
      </c>
      <c r="OMN97" s="975" t="s">
        <v>819</v>
      </c>
      <c r="OMO97" s="975" t="s">
        <v>819</v>
      </c>
      <c r="OMP97" s="975" t="s">
        <v>819</v>
      </c>
      <c r="OMQ97" s="975" t="s">
        <v>819</v>
      </c>
      <c r="OMR97" s="975" t="s">
        <v>819</v>
      </c>
      <c r="OMS97" s="975" t="s">
        <v>819</v>
      </c>
      <c r="OMT97" s="975" t="s">
        <v>819</v>
      </c>
      <c r="OMU97" s="975" t="s">
        <v>819</v>
      </c>
      <c r="OMV97" s="975" t="s">
        <v>819</v>
      </c>
      <c r="OMW97" s="975" t="s">
        <v>819</v>
      </c>
      <c r="OMX97" s="975" t="s">
        <v>819</v>
      </c>
      <c r="OMY97" s="975" t="s">
        <v>819</v>
      </c>
      <c r="OMZ97" s="975" t="s">
        <v>819</v>
      </c>
      <c r="ONA97" s="975" t="s">
        <v>819</v>
      </c>
      <c r="ONB97" s="975" t="s">
        <v>819</v>
      </c>
      <c r="ONC97" s="975" t="s">
        <v>819</v>
      </c>
      <c r="OND97" s="975" t="s">
        <v>819</v>
      </c>
      <c r="ONE97" s="975" t="s">
        <v>819</v>
      </c>
      <c r="ONF97" s="975" t="s">
        <v>819</v>
      </c>
      <c r="ONG97" s="975" t="s">
        <v>819</v>
      </c>
      <c r="ONH97" s="975" t="s">
        <v>819</v>
      </c>
      <c r="ONI97" s="975" t="s">
        <v>819</v>
      </c>
      <c r="ONJ97" s="975" t="s">
        <v>819</v>
      </c>
      <c r="ONK97" s="975" t="s">
        <v>819</v>
      </c>
      <c r="ONL97" s="975" t="s">
        <v>819</v>
      </c>
      <c r="ONM97" s="975" t="s">
        <v>819</v>
      </c>
      <c r="ONN97" s="975" t="s">
        <v>819</v>
      </c>
      <c r="ONO97" s="975" t="s">
        <v>819</v>
      </c>
      <c r="ONP97" s="975" t="s">
        <v>819</v>
      </c>
      <c r="ONQ97" s="975" t="s">
        <v>819</v>
      </c>
      <c r="ONR97" s="975" t="s">
        <v>819</v>
      </c>
      <c r="ONS97" s="975" t="s">
        <v>819</v>
      </c>
      <c r="ONT97" s="975" t="s">
        <v>819</v>
      </c>
      <c r="ONU97" s="975" t="s">
        <v>819</v>
      </c>
      <c r="ONV97" s="975" t="s">
        <v>819</v>
      </c>
      <c r="ONW97" s="975" t="s">
        <v>819</v>
      </c>
      <c r="ONX97" s="975" t="s">
        <v>819</v>
      </c>
      <c r="ONY97" s="975" t="s">
        <v>819</v>
      </c>
      <c r="ONZ97" s="975" t="s">
        <v>819</v>
      </c>
      <c r="OOA97" s="975" t="s">
        <v>819</v>
      </c>
      <c r="OOB97" s="975" t="s">
        <v>819</v>
      </c>
      <c r="OOC97" s="975" t="s">
        <v>819</v>
      </c>
      <c r="OOD97" s="975" t="s">
        <v>819</v>
      </c>
      <c r="OOE97" s="975" t="s">
        <v>819</v>
      </c>
      <c r="OOF97" s="975" t="s">
        <v>819</v>
      </c>
      <c r="OOG97" s="975" t="s">
        <v>819</v>
      </c>
      <c r="OOH97" s="975" t="s">
        <v>819</v>
      </c>
      <c r="OOI97" s="975" t="s">
        <v>819</v>
      </c>
      <c r="OOJ97" s="975" t="s">
        <v>819</v>
      </c>
      <c r="OOK97" s="975" t="s">
        <v>819</v>
      </c>
      <c r="OOL97" s="975" t="s">
        <v>819</v>
      </c>
      <c r="OOM97" s="975" t="s">
        <v>819</v>
      </c>
      <c r="OON97" s="975" t="s">
        <v>819</v>
      </c>
      <c r="OOO97" s="975" t="s">
        <v>819</v>
      </c>
      <c r="OOP97" s="975" t="s">
        <v>819</v>
      </c>
      <c r="OOQ97" s="975" t="s">
        <v>819</v>
      </c>
      <c r="OOR97" s="975" t="s">
        <v>819</v>
      </c>
      <c r="OOS97" s="975" t="s">
        <v>819</v>
      </c>
      <c r="OOT97" s="975" t="s">
        <v>819</v>
      </c>
      <c r="OOU97" s="975" t="s">
        <v>819</v>
      </c>
      <c r="OOV97" s="975" t="s">
        <v>819</v>
      </c>
      <c r="OOW97" s="975" t="s">
        <v>819</v>
      </c>
      <c r="OOX97" s="975" t="s">
        <v>819</v>
      </c>
      <c r="OOY97" s="975" t="s">
        <v>819</v>
      </c>
      <c r="OOZ97" s="975" t="s">
        <v>819</v>
      </c>
      <c r="OPA97" s="975" t="s">
        <v>819</v>
      </c>
      <c r="OPB97" s="975" t="s">
        <v>819</v>
      </c>
      <c r="OPC97" s="975" t="s">
        <v>819</v>
      </c>
      <c r="OPD97" s="975" t="s">
        <v>819</v>
      </c>
      <c r="OPE97" s="975" t="s">
        <v>819</v>
      </c>
      <c r="OPF97" s="975" t="s">
        <v>819</v>
      </c>
      <c r="OPG97" s="975" t="s">
        <v>819</v>
      </c>
      <c r="OPH97" s="975" t="s">
        <v>819</v>
      </c>
      <c r="OPI97" s="975" t="s">
        <v>819</v>
      </c>
      <c r="OPJ97" s="975" t="s">
        <v>819</v>
      </c>
      <c r="OPK97" s="975" t="s">
        <v>819</v>
      </c>
      <c r="OPL97" s="975" t="s">
        <v>819</v>
      </c>
      <c r="OPM97" s="975" t="s">
        <v>819</v>
      </c>
      <c r="OPN97" s="975" t="s">
        <v>819</v>
      </c>
      <c r="OPO97" s="975" t="s">
        <v>819</v>
      </c>
      <c r="OPP97" s="975" t="s">
        <v>819</v>
      </c>
      <c r="OPQ97" s="975" t="s">
        <v>819</v>
      </c>
      <c r="OPR97" s="975" t="s">
        <v>819</v>
      </c>
      <c r="OPS97" s="975" t="s">
        <v>819</v>
      </c>
      <c r="OPT97" s="975" t="s">
        <v>819</v>
      </c>
      <c r="OPU97" s="975" t="s">
        <v>819</v>
      </c>
      <c r="OPV97" s="975" t="s">
        <v>819</v>
      </c>
      <c r="OPW97" s="975" t="s">
        <v>819</v>
      </c>
      <c r="OPX97" s="975" t="s">
        <v>819</v>
      </c>
      <c r="OPY97" s="975" t="s">
        <v>819</v>
      </c>
      <c r="OPZ97" s="975" t="s">
        <v>819</v>
      </c>
      <c r="OQA97" s="975" t="s">
        <v>819</v>
      </c>
      <c r="OQB97" s="975" t="s">
        <v>819</v>
      </c>
      <c r="OQC97" s="975" t="s">
        <v>819</v>
      </c>
      <c r="OQD97" s="975" t="s">
        <v>819</v>
      </c>
      <c r="OQE97" s="975" t="s">
        <v>819</v>
      </c>
      <c r="OQF97" s="975" t="s">
        <v>819</v>
      </c>
      <c r="OQG97" s="975" t="s">
        <v>819</v>
      </c>
      <c r="OQH97" s="975" t="s">
        <v>819</v>
      </c>
      <c r="OQI97" s="975" t="s">
        <v>819</v>
      </c>
      <c r="OQJ97" s="975" t="s">
        <v>819</v>
      </c>
      <c r="OQK97" s="975" t="s">
        <v>819</v>
      </c>
      <c r="OQL97" s="975" t="s">
        <v>819</v>
      </c>
      <c r="OQM97" s="975" t="s">
        <v>819</v>
      </c>
      <c r="OQN97" s="975" t="s">
        <v>819</v>
      </c>
      <c r="OQO97" s="975" t="s">
        <v>819</v>
      </c>
      <c r="OQP97" s="975" t="s">
        <v>819</v>
      </c>
      <c r="OQQ97" s="975" t="s">
        <v>819</v>
      </c>
      <c r="OQR97" s="975" t="s">
        <v>819</v>
      </c>
      <c r="OQS97" s="975" t="s">
        <v>819</v>
      </c>
      <c r="OQT97" s="975" t="s">
        <v>819</v>
      </c>
      <c r="OQU97" s="975" t="s">
        <v>819</v>
      </c>
      <c r="OQV97" s="975" t="s">
        <v>819</v>
      </c>
      <c r="OQW97" s="975" t="s">
        <v>819</v>
      </c>
      <c r="OQX97" s="975" t="s">
        <v>819</v>
      </c>
      <c r="OQY97" s="975" t="s">
        <v>819</v>
      </c>
      <c r="OQZ97" s="975" t="s">
        <v>819</v>
      </c>
      <c r="ORA97" s="975" t="s">
        <v>819</v>
      </c>
      <c r="ORB97" s="975" t="s">
        <v>819</v>
      </c>
      <c r="ORC97" s="975" t="s">
        <v>819</v>
      </c>
      <c r="ORD97" s="975" t="s">
        <v>819</v>
      </c>
      <c r="ORE97" s="975" t="s">
        <v>819</v>
      </c>
      <c r="ORF97" s="975" t="s">
        <v>819</v>
      </c>
      <c r="ORG97" s="975" t="s">
        <v>819</v>
      </c>
      <c r="ORH97" s="975" t="s">
        <v>819</v>
      </c>
      <c r="ORI97" s="975" t="s">
        <v>819</v>
      </c>
      <c r="ORJ97" s="975" t="s">
        <v>819</v>
      </c>
      <c r="ORK97" s="975" t="s">
        <v>819</v>
      </c>
      <c r="ORL97" s="975" t="s">
        <v>819</v>
      </c>
      <c r="ORM97" s="975" t="s">
        <v>819</v>
      </c>
      <c r="ORN97" s="975" t="s">
        <v>819</v>
      </c>
      <c r="ORO97" s="975" t="s">
        <v>819</v>
      </c>
      <c r="ORP97" s="975" t="s">
        <v>819</v>
      </c>
      <c r="ORQ97" s="975" t="s">
        <v>819</v>
      </c>
      <c r="ORR97" s="975" t="s">
        <v>819</v>
      </c>
      <c r="ORS97" s="975" t="s">
        <v>819</v>
      </c>
      <c r="ORT97" s="975" t="s">
        <v>819</v>
      </c>
      <c r="ORU97" s="975" t="s">
        <v>819</v>
      </c>
      <c r="ORV97" s="975" t="s">
        <v>819</v>
      </c>
      <c r="ORW97" s="975" t="s">
        <v>819</v>
      </c>
      <c r="ORX97" s="975" t="s">
        <v>819</v>
      </c>
      <c r="ORY97" s="975" t="s">
        <v>819</v>
      </c>
      <c r="ORZ97" s="975" t="s">
        <v>819</v>
      </c>
      <c r="OSA97" s="975" t="s">
        <v>819</v>
      </c>
      <c r="OSB97" s="975" t="s">
        <v>819</v>
      </c>
      <c r="OSC97" s="975" t="s">
        <v>819</v>
      </c>
      <c r="OSD97" s="975" t="s">
        <v>819</v>
      </c>
      <c r="OSE97" s="975" t="s">
        <v>819</v>
      </c>
      <c r="OSF97" s="975" t="s">
        <v>819</v>
      </c>
      <c r="OSG97" s="975" t="s">
        <v>819</v>
      </c>
      <c r="OSH97" s="975" t="s">
        <v>819</v>
      </c>
      <c r="OSI97" s="975" t="s">
        <v>819</v>
      </c>
      <c r="OSJ97" s="975" t="s">
        <v>819</v>
      </c>
      <c r="OSK97" s="975" t="s">
        <v>819</v>
      </c>
      <c r="OSL97" s="975" t="s">
        <v>819</v>
      </c>
      <c r="OSM97" s="975" t="s">
        <v>819</v>
      </c>
      <c r="OSN97" s="975" t="s">
        <v>819</v>
      </c>
      <c r="OSO97" s="975" t="s">
        <v>819</v>
      </c>
      <c r="OSP97" s="975" t="s">
        <v>819</v>
      </c>
      <c r="OSQ97" s="975" t="s">
        <v>819</v>
      </c>
      <c r="OSR97" s="975" t="s">
        <v>819</v>
      </c>
      <c r="OSS97" s="975" t="s">
        <v>819</v>
      </c>
      <c r="OST97" s="975" t="s">
        <v>819</v>
      </c>
      <c r="OSU97" s="975" t="s">
        <v>819</v>
      </c>
      <c r="OSV97" s="975" t="s">
        <v>819</v>
      </c>
      <c r="OSW97" s="975" t="s">
        <v>819</v>
      </c>
      <c r="OSX97" s="975" t="s">
        <v>819</v>
      </c>
      <c r="OSY97" s="975" t="s">
        <v>819</v>
      </c>
      <c r="OSZ97" s="975" t="s">
        <v>819</v>
      </c>
      <c r="OTA97" s="975" t="s">
        <v>819</v>
      </c>
      <c r="OTB97" s="975" t="s">
        <v>819</v>
      </c>
      <c r="OTC97" s="975" t="s">
        <v>819</v>
      </c>
      <c r="OTD97" s="975" t="s">
        <v>819</v>
      </c>
      <c r="OTE97" s="975" t="s">
        <v>819</v>
      </c>
      <c r="OTF97" s="975" t="s">
        <v>819</v>
      </c>
      <c r="OTG97" s="975" t="s">
        <v>819</v>
      </c>
      <c r="OTH97" s="975" t="s">
        <v>819</v>
      </c>
      <c r="OTI97" s="975" t="s">
        <v>819</v>
      </c>
      <c r="OTJ97" s="975" t="s">
        <v>819</v>
      </c>
      <c r="OTK97" s="975" t="s">
        <v>819</v>
      </c>
      <c r="OTL97" s="975" t="s">
        <v>819</v>
      </c>
      <c r="OTM97" s="975" t="s">
        <v>819</v>
      </c>
      <c r="OTN97" s="975" t="s">
        <v>819</v>
      </c>
      <c r="OTO97" s="975" t="s">
        <v>819</v>
      </c>
      <c r="OTP97" s="975" t="s">
        <v>819</v>
      </c>
      <c r="OTQ97" s="975" t="s">
        <v>819</v>
      </c>
      <c r="OTR97" s="975" t="s">
        <v>819</v>
      </c>
      <c r="OTS97" s="975" t="s">
        <v>819</v>
      </c>
      <c r="OTT97" s="975" t="s">
        <v>819</v>
      </c>
      <c r="OTU97" s="975" t="s">
        <v>819</v>
      </c>
      <c r="OTV97" s="975" t="s">
        <v>819</v>
      </c>
      <c r="OTW97" s="975" t="s">
        <v>819</v>
      </c>
      <c r="OTX97" s="975" t="s">
        <v>819</v>
      </c>
      <c r="OTY97" s="975" t="s">
        <v>819</v>
      </c>
      <c r="OTZ97" s="975" t="s">
        <v>819</v>
      </c>
      <c r="OUA97" s="975" t="s">
        <v>819</v>
      </c>
      <c r="OUB97" s="975" t="s">
        <v>819</v>
      </c>
      <c r="OUC97" s="975" t="s">
        <v>819</v>
      </c>
      <c r="OUD97" s="975" t="s">
        <v>819</v>
      </c>
      <c r="OUE97" s="975" t="s">
        <v>819</v>
      </c>
      <c r="OUF97" s="975" t="s">
        <v>819</v>
      </c>
      <c r="OUG97" s="975" t="s">
        <v>819</v>
      </c>
      <c r="OUH97" s="975" t="s">
        <v>819</v>
      </c>
      <c r="OUI97" s="975" t="s">
        <v>819</v>
      </c>
      <c r="OUJ97" s="975" t="s">
        <v>819</v>
      </c>
      <c r="OUK97" s="975" t="s">
        <v>819</v>
      </c>
      <c r="OUL97" s="975" t="s">
        <v>819</v>
      </c>
      <c r="OUM97" s="975" t="s">
        <v>819</v>
      </c>
      <c r="OUN97" s="975" t="s">
        <v>819</v>
      </c>
      <c r="OUO97" s="975" t="s">
        <v>819</v>
      </c>
      <c r="OUP97" s="975" t="s">
        <v>819</v>
      </c>
      <c r="OUQ97" s="975" t="s">
        <v>819</v>
      </c>
      <c r="OUR97" s="975" t="s">
        <v>819</v>
      </c>
      <c r="OUS97" s="975" t="s">
        <v>819</v>
      </c>
      <c r="OUT97" s="975" t="s">
        <v>819</v>
      </c>
      <c r="OUU97" s="975" t="s">
        <v>819</v>
      </c>
      <c r="OUV97" s="975" t="s">
        <v>819</v>
      </c>
      <c r="OUW97" s="975" t="s">
        <v>819</v>
      </c>
      <c r="OUX97" s="975" t="s">
        <v>819</v>
      </c>
      <c r="OUY97" s="975" t="s">
        <v>819</v>
      </c>
      <c r="OUZ97" s="975" t="s">
        <v>819</v>
      </c>
      <c r="OVA97" s="975" t="s">
        <v>819</v>
      </c>
      <c r="OVB97" s="975" t="s">
        <v>819</v>
      </c>
      <c r="OVC97" s="975" t="s">
        <v>819</v>
      </c>
      <c r="OVD97" s="975" t="s">
        <v>819</v>
      </c>
      <c r="OVE97" s="975" t="s">
        <v>819</v>
      </c>
      <c r="OVF97" s="975" t="s">
        <v>819</v>
      </c>
      <c r="OVG97" s="975" t="s">
        <v>819</v>
      </c>
      <c r="OVH97" s="975" t="s">
        <v>819</v>
      </c>
      <c r="OVI97" s="975" t="s">
        <v>819</v>
      </c>
      <c r="OVJ97" s="975" t="s">
        <v>819</v>
      </c>
      <c r="OVK97" s="975" t="s">
        <v>819</v>
      </c>
      <c r="OVL97" s="975" t="s">
        <v>819</v>
      </c>
      <c r="OVM97" s="975" t="s">
        <v>819</v>
      </c>
      <c r="OVN97" s="975" t="s">
        <v>819</v>
      </c>
      <c r="OVO97" s="975" t="s">
        <v>819</v>
      </c>
      <c r="OVP97" s="975" t="s">
        <v>819</v>
      </c>
      <c r="OVQ97" s="975" t="s">
        <v>819</v>
      </c>
      <c r="OVR97" s="975" t="s">
        <v>819</v>
      </c>
      <c r="OVS97" s="975" t="s">
        <v>819</v>
      </c>
      <c r="OVT97" s="975" t="s">
        <v>819</v>
      </c>
      <c r="OVU97" s="975" t="s">
        <v>819</v>
      </c>
      <c r="OVV97" s="975" t="s">
        <v>819</v>
      </c>
      <c r="OVW97" s="975" t="s">
        <v>819</v>
      </c>
      <c r="OVX97" s="975" t="s">
        <v>819</v>
      </c>
      <c r="OVY97" s="975" t="s">
        <v>819</v>
      </c>
      <c r="OVZ97" s="975" t="s">
        <v>819</v>
      </c>
      <c r="OWA97" s="975" t="s">
        <v>819</v>
      </c>
      <c r="OWB97" s="975" t="s">
        <v>819</v>
      </c>
      <c r="OWC97" s="975" t="s">
        <v>819</v>
      </c>
      <c r="OWD97" s="975" t="s">
        <v>819</v>
      </c>
      <c r="OWE97" s="975" t="s">
        <v>819</v>
      </c>
      <c r="OWF97" s="975" t="s">
        <v>819</v>
      </c>
      <c r="OWG97" s="975" t="s">
        <v>819</v>
      </c>
      <c r="OWH97" s="975" t="s">
        <v>819</v>
      </c>
      <c r="OWI97" s="975" t="s">
        <v>819</v>
      </c>
      <c r="OWJ97" s="975" t="s">
        <v>819</v>
      </c>
      <c r="OWK97" s="975" t="s">
        <v>819</v>
      </c>
      <c r="OWL97" s="975" t="s">
        <v>819</v>
      </c>
      <c r="OWM97" s="975" t="s">
        <v>819</v>
      </c>
      <c r="OWN97" s="975" t="s">
        <v>819</v>
      </c>
      <c r="OWO97" s="975" t="s">
        <v>819</v>
      </c>
      <c r="OWP97" s="975" t="s">
        <v>819</v>
      </c>
      <c r="OWQ97" s="975" t="s">
        <v>819</v>
      </c>
      <c r="OWR97" s="975" t="s">
        <v>819</v>
      </c>
      <c r="OWS97" s="975" t="s">
        <v>819</v>
      </c>
      <c r="OWT97" s="975" t="s">
        <v>819</v>
      </c>
      <c r="OWU97" s="975" t="s">
        <v>819</v>
      </c>
      <c r="OWV97" s="975" t="s">
        <v>819</v>
      </c>
      <c r="OWW97" s="975" t="s">
        <v>819</v>
      </c>
      <c r="OWX97" s="975" t="s">
        <v>819</v>
      </c>
      <c r="OWY97" s="975" t="s">
        <v>819</v>
      </c>
      <c r="OWZ97" s="975" t="s">
        <v>819</v>
      </c>
      <c r="OXA97" s="975" t="s">
        <v>819</v>
      </c>
      <c r="OXB97" s="975" t="s">
        <v>819</v>
      </c>
      <c r="OXC97" s="975" t="s">
        <v>819</v>
      </c>
      <c r="OXD97" s="975" t="s">
        <v>819</v>
      </c>
      <c r="OXE97" s="975" t="s">
        <v>819</v>
      </c>
      <c r="OXF97" s="975" t="s">
        <v>819</v>
      </c>
      <c r="OXG97" s="975" t="s">
        <v>819</v>
      </c>
      <c r="OXH97" s="975" t="s">
        <v>819</v>
      </c>
      <c r="OXI97" s="975" t="s">
        <v>819</v>
      </c>
      <c r="OXJ97" s="975" t="s">
        <v>819</v>
      </c>
      <c r="OXK97" s="975" t="s">
        <v>819</v>
      </c>
      <c r="OXL97" s="975" t="s">
        <v>819</v>
      </c>
      <c r="OXM97" s="975" t="s">
        <v>819</v>
      </c>
      <c r="OXN97" s="975" t="s">
        <v>819</v>
      </c>
      <c r="OXO97" s="975" t="s">
        <v>819</v>
      </c>
      <c r="OXP97" s="975" t="s">
        <v>819</v>
      </c>
      <c r="OXQ97" s="975" t="s">
        <v>819</v>
      </c>
      <c r="OXR97" s="975" t="s">
        <v>819</v>
      </c>
      <c r="OXS97" s="975" t="s">
        <v>819</v>
      </c>
      <c r="OXT97" s="975" t="s">
        <v>819</v>
      </c>
      <c r="OXU97" s="975" t="s">
        <v>819</v>
      </c>
      <c r="OXV97" s="975" t="s">
        <v>819</v>
      </c>
      <c r="OXW97" s="975" t="s">
        <v>819</v>
      </c>
      <c r="OXX97" s="975" t="s">
        <v>819</v>
      </c>
      <c r="OXY97" s="975" t="s">
        <v>819</v>
      </c>
      <c r="OXZ97" s="975" t="s">
        <v>819</v>
      </c>
      <c r="OYA97" s="975" t="s">
        <v>819</v>
      </c>
      <c r="OYB97" s="975" t="s">
        <v>819</v>
      </c>
      <c r="OYC97" s="975" t="s">
        <v>819</v>
      </c>
      <c r="OYD97" s="975" t="s">
        <v>819</v>
      </c>
      <c r="OYE97" s="975" t="s">
        <v>819</v>
      </c>
      <c r="OYF97" s="975" t="s">
        <v>819</v>
      </c>
      <c r="OYG97" s="975" t="s">
        <v>819</v>
      </c>
      <c r="OYH97" s="975" t="s">
        <v>819</v>
      </c>
      <c r="OYI97" s="975" t="s">
        <v>819</v>
      </c>
      <c r="OYJ97" s="975" t="s">
        <v>819</v>
      </c>
      <c r="OYK97" s="975" t="s">
        <v>819</v>
      </c>
      <c r="OYL97" s="975" t="s">
        <v>819</v>
      </c>
      <c r="OYM97" s="975" t="s">
        <v>819</v>
      </c>
      <c r="OYN97" s="975" t="s">
        <v>819</v>
      </c>
      <c r="OYO97" s="975" t="s">
        <v>819</v>
      </c>
      <c r="OYP97" s="975" t="s">
        <v>819</v>
      </c>
      <c r="OYQ97" s="975" t="s">
        <v>819</v>
      </c>
      <c r="OYR97" s="975" t="s">
        <v>819</v>
      </c>
      <c r="OYS97" s="975" t="s">
        <v>819</v>
      </c>
      <c r="OYT97" s="975" t="s">
        <v>819</v>
      </c>
      <c r="OYU97" s="975" t="s">
        <v>819</v>
      </c>
      <c r="OYV97" s="975" t="s">
        <v>819</v>
      </c>
      <c r="OYW97" s="975" t="s">
        <v>819</v>
      </c>
      <c r="OYX97" s="975" t="s">
        <v>819</v>
      </c>
      <c r="OYY97" s="975" t="s">
        <v>819</v>
      </c>
      <c r="OYZ97" s="975" t="s">
        <v>819</v>
      </c>
      <c r="OZA97" s="975" t="s">
        <v>819</v>
      </c>
      <c r="OZB97" s="975" t="s">
        <v>819</v>
      </c>
      <c r="OZC97" s="975" t="s">
        <v>819</v>
      </c>
      <c r="OZD97" s="975" t="s">
        <v>819</v>
      </c>
      <c r="OZE97" s="975" t="s">
        <v>819</v>
      </c>
      <c r="OZF97" s="975" t="s">
        <v>819</v>
      </c>
      <c r="OZG97" s="975" t="s">
        <v>819</v>
      </c>
      <c r="OZH97" s="975" t="s">
        <v>819</v>
      </c>
      <c r="OZI97" s="975" t="s">
        <v>819</v>
      </c>
      <c r="OZJ97" s="975" t="s">
        <v>819</v>
      </c>
      <c r="OZK97" s="975" t="s">
        <v>819</v>
      </c>
      <c r="OZL97" s="975" t="s">
        <v>819</v>
      </c>
      <c r="OZM97" s="975" t="s">
        <v>819</v>
      </c>
      <c r="OZN97" s="975" t="s">
        <v>819</v>
      </c>
      <c r="OZO97" s="975" t="s">
        <v>819</v>
      </c>
      <c r="OZP97" s="975" t="s">
        <v>819</v>
      </c>
      <c r="OZQ97" s="975" t="s">
        <v>819</v>
      </c>
      <c r="OZR97" s="975" t="s">
        <v>819</v>
      </c>
      <c r="OZS97" s="975" t="s">
        <v>819</v>
      </c>
      <c r="OZT97" s="975" t="s">
        <v>819</v>
      </c>
      <c r="OZU97" s="975" t="s">
        <v>819</v>
      </c>
      <c r="OZV97" s="975" t="s">
        <v>819</v>
      </c>
      <c r="OZW97" s="975" t="s">
        <v>819</v>
      </c>
      <c r="OZX97" s="975" t="s">
        <v>819</v>
      </c>
      <c r="OZY97" s="975" t="s">
        <v>819</v>
      </c>
      <c r="OZZ97" s="975" t="s">
        <v>819</v>
      </c>
      <c r="PAA97" s="975" t="s">
        <v>819</v>
      </c>
      <c r="PAB97" s="975" t="s">
        <v>819</v>
      </c>
      <c r="PAC97" s="975" t="s">
        <v>819</v>
      </c>
      <c r="PAD97" s="975" t="s">
        <v>819</v>
      </c>
      <c r="PAE97" s="975" t="s">
        <v>819</v>
      </c>
      <c r="PAF97" s="975" t="s">
        <v>819</v>
      </c>
      <c r="PAG97" s="975" t="s">
        <v>819</v>
      </c>
      <c r="PAH97" s="975" t="s">
        <v>819</v>
      </c>
      <c r="PAI97" s="975" t="s">
        <v>819</v>
      </c>
      <c r="PAJ97" s="975" t="s">
        <v>819</v>
      </c>
      <c r="PAK97" s="975" t="s">
        <v>819</v>
      </c>
      <c r="PAL97" s="975" t="s">
        <v>819</v>
      </c>
      <c r="PAM97" s="975" t="s">
        <v>819</v>
      </c>
      <c r="PAN97" s="975" t="s">
        <v>819</v>
      </c>
      <c r="PAO97" s="975" t="s">
        <v>819</v>
      </c>
      <c r="PAP97" s="975" t="s">
        <v>819</v>
      </c>
      <c r="PAQ97" s="975" t="s">
        <v>819</v>
      </c>
      <c r="PAR97" s="975" t="s">
        <v>819</v>
      </c>
      <c r="PAS97" s="975" t="s">
        <v>819</v>
      </c>
      <c r="PAT97" s="975" t="s">
        <v>819</v>
      </c>
      <c r="PAU97" s="975" t="s">
        <v>819</v>
      </c>
      <c r="PAV97" s="975" t="s">
        <v>819</v>
      </c>
      <c r="PAW97" s="975" t="s">
        <v>819</v>
      </c>
      <c r="PAX97" s="975" t="s">
        <v>819</v>
      </c>
      <c r="PAY97" s="975" t="s">
        <v>819</v>
      </c>
      <c r="PAZ97" s="975" t="s">
        <v>819</v>
      </c>
      <c r="PBA97" s="975" t="s">
        <v>819</v>
      </c>
      <c r="PBB97" s="975" t="s">
        <v>819</v>
      </c>
      <c r="PBC97" s="975" t="s">
        <v>819</v>
      </c>
      <c r="PBD97" s="975" t="s">
        <v>819</v>
      </c>
      <c r="PBE97" s="975" t="s">
        <v>819</v>
      </c>
      <c r="PBF97" s="975" t="s">
        <v>819</v>
      </c>
      <c r="PBG97" s="975" t="s">
        <v>819</v>
      </c>
      <c r="PBH97" s="975" t="s">
        <v>819</v>
      </c>
      <c r="PBI97" s="975" t="s">
        <v>819</v>
      </c>
      <c r="PBJ97" s="975" t="s">
        <v>819</v>
      </c>
      <c r="PBK97" s="975" t="s">
        <v>819</v>
      </c>
      <c r="PBL97" s="975" t="s">
        <v>819</v>
      </c>
      <c r="PBM97" s="975" t="s">
        <v>819</v>
      </c>
      <c r="PBN97" s="975" t="s">
        <v>819</v>
      </c>
      <c r="PBO97" s="975" t="s">
        <v>819</v>
      </c>
      <c r="PBP97" s="975" t="s">
        <v>819</v>
      </c>
      <c r="PBQ97" s="975" t="s">
        <v>819</v>
      </c>
      <c r="PBR97" s="975" t="s">
        <v>819</v>
      </c>
      <c r="PBS97" s="975" t="s">
        <v>819</v>
      </c>
      <c r="PBT97" s="975" t="s">
        <v>819</v>
      </c>
      <c r="PBU97" s="975" t="s">
        <v>819</v>
      </c>
      <c r="PBV97" s="975" t="s">
        <v>819</v>
      </c>
      <c r="PBW97" s="975" t="s">
        <v>819</v>
      </c>
      <c r="PBX97" s="975" t="s">
        <v>819</v>
      </c>
      <c r="PBY97" s="975" t="s">
        <v>819</v>
      </c>
      <c r="PBZ97" s="975" t="s">
        <v>819</v>
      </c>
      <c r="PCA97" s="975" t="s">
        <v>819</v>
      </c>
      <c r="PCB97" s="975" t="s">
        <v>819</v>
      </c>
      <c r="PCC97" s="975" t="s">
        <v>819</v>
      </c>
      <c r="PCD97" s="975" t="s">
        <v>819</v>
      </c>
      <c r="PCE97" s="975" t="s">
        <v>819</v>
      </c>
      <c r="PCF97" s="975" t="s">
        <v>819</v>
      </c>
      <c r="PCG97" s="975" t="s">
        <v>819</v>
      </c>
      <c r="PCH97" s="975" t="s">
        <v>819</v>
      </c>
      <c r="PCI97" s="975" t="s">
        <v>819</v>
      </c>
      <c r="PCJ97" s="975" t="s">
        <v>819</v>
      </c>
      <c r="PCK97" s="975" t="s">
        <v>819</v>
      </c>
      <c r="PCL97" s="975" t="s">
        <v>819</v>
      </c>
      <c r="PCM97" s="975" t="s">
        <v>819</v>
      </c>
      <c r="PCN97" s="975" t="s">
        <v>819</v>
      </c>
      <c r="PCO97" s="975" t="s">
        <v>819</v>
      </c>
      <c r="PCP97" s="975" t="s">
        <v>819</v>
      </c>
      <c r="PCQ97" s="975" t="s">
        <v>819</v>
      </c>
      <c r="PCR97" s="975" t="s">
        <v>819</v>
      </c>
      <c r="PCS97" s="975" t="s">
        <v>819</v>
      </c>
      <c r="PCT97" s="975" t="s">
        <v>819</v>
      </c>
      <c r="PCU97" s="975" t="s">
        <v>819</v>
      </c>
      <c r="PCV97" s="975" t="s">
        <v>819</v>
      </c>
      <c r="PCW97" s="975" t="s">
        <v>819</v>
      </c>
      <c r="PCX97" s="975" t="s">
        <v>819</v>
      </c>
      <c r="PCY97" s="975" t="s">
        <v>819</v>
      </c>
      <c r="PCZ97" s="975" t="s">
        <v>819</v>
      </c>
      <c r="PDA97" s="975" t="s">
        <v>819</v>
      </c>
      <c r="PDB97" s="975" t="s">
        <v>819</v>
      </c>
      <c r="PDC97" s="975" t="s">
        <v>819</v>
      </c>
      <c r="PDD97" s="975" t="s">
        <v>819</v>
      </c>
      <c r="PDE97" s="975" t="s">
        <v>819</v>
      </c>
      <c r="PDF97" s="975" t="s">
        <v>819</v>
      </c>
      <c r="PDG97" s="975" t="s">
        <v>819</v>
      </c>
      <c r="PDH97" s="975" t="s">
        <v>819</v>
      </c>
      <c r="PDI97" s="975" t="s">
        <v>819</v>
      </c>
      <c r="PDJ97" s="975" t="s">
        <v>819</v>
      </c>
      <c r="PDK97" s="975" t="s">
        <v>819</v>
      </c>
      <c r="PDL97" s="975" t="s">
        <v>819</v>
      </c>
      <c r="PDM97" s="975" t="s">
        <v>819</v>
      </c>
      <c r="PDN97" s="975" t="s">
        <v>819</v>
      </c>
      <c r="PDO97" s="975" t="s">
        <v>819</v>
      </c>
      <c r="PDP97" s="975" t="s">
        <v>819</v>
      </c>
      <c r="PDQ97" s="975" t="s">
        <v>819</v>
      </c>
      <c r="PDR97" s="975" t="s">
        <v>819</v>
      </c>
      <c r="PDS97" s="975" t="s">
        <v>819</v>
      </c>
      <c r="PDT97" s="975" t="s">
        <v>819</v>
      </c>
      <c r="PDU97" s="975" t="s">
        <v>819</v>
      </c>
      <c r="PDV97" s="975" t="s">
        <v>819</v>
      </c>
      <c r="PDW97" s="975" t="s">
        <v>819</v>
      </c>
      <c r="PDX97" s="975" t="s">
        <v>819</v>
      </c>
      <c r="PDY97" s="975" t="s">
        <v>819</v>
      </c>
      <c r="PDZ97" s="975" t="s">
        <v>819</v>
      </c>
      <c r="PEA97" s="975" t="s">
        <v>819</v>
      </c>
      <c r="PEB97" s="975" t="s">
        <v>819</v>
      </c>
      <c r="PEC97" s="975" t="s">
        <v>819</v>
      </c>
      <c r="PED97" s="975" t="s">
        <v>819</v>
      </c>
      <c r="PEE97" s="975" t="s">
        <v>819</v>
      </c>
      <c r="PEF97" s="975" t="s">
        <v>819</v>
      </c>
      <c r="PEG97" s="975" t="s">
        <v>819</v>
      </c>
      <c r="PEH97" s="975" t="s">
        <v>819</v>
      </c>
      <c r="PEI97" s="975" t="s">
        <v>819</v>
      </c>
      <c r="PEJ97" s="975" t="s">
        <v>819</v>
      </c>
      <c r="PEK97" s="975" t="s">
        <v>819</v>
      </c>
      <c r="PEL97" s="975" t="s">
        <v>819</v>
      </c>
      <c r="PEM97" s="975" t="s">
        <v>819</v>
      </c>
      <c r="PEN97" s="975" t="s">
        <v>819</v>
      </c>
      <c r="PEO97" s="975" t="s">
        <v>819</v>
      </c>
      <c r="PEP97" s="975" t="s">
        <v>819</v>
      </c>
      <c r="PEQ97" s="975" t="s">
        <v>819</v>
      </c>
      <c r="PER97" s="975" t="s">
        <v>819</v>
      </c>
      <c r="PES97" s="975" t="s">
        <v>819</v>
      </c>
      <c r="PET97" s="975" t="s">
        <v>819</v>
      </c>
      <c r="PEU97" s="975" t="s">
        <v>819</v>
      </c>
      <c r="PEV97" s="975" t="s">
        <v>819</v>
      </c>
      <c r="PEW97" s="975" t="s">
        <v>819</v>
      </c>
      <c r="PEX97" s="975" t="s">
        <v>819</v>
      </c>
      <c r="PEY97" s="975" t="s">
        <v>819</v>
      </c>
      <c r="PEZ97" s="975" t="s">
        <v>819</v>
      </c>
      <c r="PFA97" s="975" t="s">
        <v>819</v>
      </c>
      <c r="PFB97" s="975" t="s">
        <v>819</v>
      </c>
      <c r="PFC97" s="975" t="s">
        <v>819</v>
      </c>
      <c r="PFD97" s="975" t="s">
        <v>819</v>
      </c>
      <c r="PFE97" s="975" t="s">
        <v>819</v>
      </c>
      <c r="PFF97" s="975" t="s">
        <v>819</v>
      </c>
      <c r="PFG97" s="975" t="s">
        <v>819</v>
      </c>
      <c r="PFH97" s="975" t="s">
        <v>819</v>
      </c>
      <c r="PFI97" s="975" t="s">
        <v>819</v>
      </c>
      <c r="PFJ97" s="975" t="s">
        <v>819</v>
      </c>
      <c r="PFK97" s="975" t="s">
        <v>819</v>
      </c>
      <c r="PFL97" s="975" t="s">
        <v>819</v>
      </c>
      <c r="PFM97" s="975" t="s">
        <v>819</v>
      </c>
      <c r="PFN97" s="975" t="s">
        <v>819</v>
      </c>
      <c r="PFO97" s="975" t="s">
        <v>819</v>
      </c>
      <c r="PFP97" s="975" t="s">
        <v>819</v>
      </c>
      <c r="PFQ97" s="975" t="s">
        <v>819</v>
      </c>
      <c r="PFR97" s="975" t="s">
        <v>819</v>
      </c>
      <c r="PFS97" s="975" t="s">
        <v>819</v>
      </c>
      <c r="PFT97" s="975" t="s">
        <v>819</v>
      </c>
      <c r="PFU97" s="975" t="s">
        <v>819</v>
      </c>
      <c r="PFV97" s="975" t="s">
        <v>819</v>
      </c>
      <c r="PFW97" s="975" t="s">
        <v>819</v>
      </c>
      <c r="PFX97" s="975" t="s">
        <v>819</v>
      </c>
      <c r="PFY97" s="975" t="s">
        <v>819</v>
      </c>
      <c r="PFZ97" s="975" t="s">
        <v>819</v>
      </c>
      <c r="PGA97" s="975" t="s">
        <v>819</v>
      </c>
      <c r="PGB97" s="975" t="s">
        <v>819</v>
      </c>
      <c r="PGC97" s="975" t="s">
        <v>819</v>
      </c>
      <c r="PGD97" s="975" t="s">
        <v>819</v>
      </c>
      <c r="PGE97" s="975" t="s">
        <v>819</v>
      </c>
      <c r="PGF97" s="975" t="s">
        <v>819</v>
      </c>
      <c r="PGG97" s="975" t="s">
        <v>819</v>
      </c>
      <c r="PGH97" s="975" t="s">
        <v>819</v>
      </c>
      <c r="PGI97" s="975" t="s">
        <v>819</v>
      </c>
      <c r="PGJ97" s="975" t="s">
        <v>819</v>
      </c>
      <c r="PGK97" s="975" t="s">
        <v>819</v>
      </c>
      <c r="PGL97" s="975" t="s">
        <v>819</v>
      </c>
      <c r="PGM97" s="975" t="s">
        <v>819</v>
      </c>
      <c r="PGN97" s="975" t="s">
        <v>819</v>
      </c>
      <c r="PGO97" s="975" t="s">
        <v>819</v>
      </c>
      <c r="PGP97" s="975" t="s">
        <v>819</v>
      </c>
      <c r="PGQ97" s="975" t="s">
        <v>819</v>
      </c>
      <c r="PGR97" s="975" t="s">
        <v>819</v>
      </c>
      <c r="PGS97" s="975" t="s">
        <v>819</v>
      </c>
      <c r="PGT97" s="975" t="s">
        <v>819</v>
      </c>
      <c r="PGU97" s="975" t="s">
        <v>819</v>
      </c>
      <c r="PGV97" s="975" t="s">
        <v>819</v>
      </c>
      <c r="PGW97" s="975" t="s">
        <v>819</v>
      </c>
      <c r="PGX97" s="975" t="s">
        <v>819</v>
      </c>
      <c r="PGY97" s="975" t="s">
        <v>819</v>
      </c>
      <c r="PGZ97" s="975" t="s">
        <v>819</v>
      </c>
      <c r="PHA97" s="975" t="s">
        <v>819</v>
      </c>
      <c r="PHB97" s="975" t="s">
        <v>819</v>
      </c>
      <c r="PHC97" s="975" t="s">
        <v>819</v>
      </c>
      <c r="PHD97" s="975" t="s">
        <v>819</v>
      </c>
      <c r="PHE97" s="975" t="s">
        <v>819</v>
      </c>
      <c r="PHF97" s="975" t="s">
        <v>819</v>
      </c>
      <c r="PHG97" s="975" t="s">
        <v>819</v>
      </c>
      <c r="PHH97" s="975" t="s">
        <v>819</v>
      </c>
      <c r="PHI97" s="975" t="s">
        <v>819</v>
      </c>
      <c r="PHJ97" s="975" t="s">
        <v>819</v>
      </c>
      <c r="PHK97" s="975" t="s">
        <v>819</v>
      </c>
      <c r="PHL97" s="975" t="s">
        <v>819</v>
      </c>
      <c r="PHM97" s="975" t="s">
        <v>819</v>
      </c>
      <c r="PHN97" s="975" t="s">
        <v>819</v>
      </c>
      <c r="PHO97" s="975" t="s">
        <v>819</v>
      </c>
      <c r="PHP97" s="975" t="s">
        <v>819</v>
      </c>
      <c r="PHQ97" s="975" t="s">
        <v>819</v>
      </c>
      <c r="PHR97" s="975" t="s">
        <v>819</v>
      </c>
      <c r="PHS97" s="975" t="s">
        <v>819</v>
      </c>
      <c r="PHT97" s="975" t="s">
        <v>819</v>
      </c>
      <c r="PHU97" s="975" t="s">
        <v>819</v>
      </c>
      <c r="PHV97" s="975" t="s">
        <v>819</v>
      </c>
      <c r="PHW97" s="975" t="s">
        <v>819</v>
      </c>
      <c r="PHX97" s="975" t="s">
        <v>819</v>
      </c>
      <c r="PHY97" s="975" t="s">
        <v>819</v>
      </c>
      <c r="PHZ97" s="975" t="s">
        <v>819</v>
      </c>
      <c r="PIA97" s="975" t="s">
        <v>819</v>
      </c>
      <c r="PIB97" s="975" t="s">
        <v>819</v>
      </c>
      <c r="PIC97" s="975" t="s">
        <v>819</v>
      </c>
      <c r="PID97" s="975" t="s">
        <v>819</v>
      </c>
      <c r="PIE97" s="975" t="s">
        <v>819</v>
      </c>
      <c r="PIF97" s="975" t="s">
        <v>819</v>
      </c>
      <c r="PIG97" s="975" t="s">
        <v>819</v>
      </c>
      <c r="PIH97" s="975" t="s">
        <v>819</v>
      </c>
      <c r="PII97" s="975" t="s">
        <v>819</v>
      </c>
      <c r="PIJ97" s="975" t="s">
        <v>819</v>
      </c>
      <c r="PIK97" s="975" t="s">
        <v>819</v>
      </c>
      <c r="PIL97" s="975" t="s">
        <v>819</v>
      </c>
      <c r="PIM97" s="975" t="s">
        <v>819</v>
      </c>
      <c r="PIN97" s="975" t="s">
        <v>819</v>
      </c>
      <c r="PIO97" s="975" t="s">
        <v>819</v>
      </c>
      <c r="PIP97" s="975" t="s">
        <v>819</v>
      </c>
      <c r="PIQ97" s="975" t="s">
        <v>819</v>
      </c>
      <c r="PIR97" s="975" t="s">
        <v>819</v>
      </c>
      <c r="PIS97" s="975" t="s">
        <v>819</v>
      </c>
      <c r="PIT97" s="975" t="s">
        <v>819</v>
      </c>
      <c r="PIU97" s="975" t="s">
        <v>819</v>
      </c>
      <c r="PIV97" s="975" t="s">
        <v>819</v>
      </c>
      <c r="PIW97" s="975" t="s">
        <v>819</v>
      </c>
      <c r="PIX97" s="975" t="s">
        <v>819</v>
      </c>
      <c r="PIY97" s="975" t="s">
        <v>819</v>
      </c>
      <c r="PIZ97" s="975" t="s">
        <v>819</v>
      </c>
      <c r="PJA97" s="975" t="s">
        <v>819</v>
      </c>
      <c r="PJB97" s="975" t="s">
        <v>819</v>
      </c>
      <c r="PJC97" s="975" t="s">
        <v>819</v>
      </c>
      <c r="PJD97" s="975" t="s">
        <v>819</v>
      </c>
      <c r="PJE97" s="975" t="s">
        <v>819</v>
      </c>
      <c r="PJF97" s="975" t="s">
        <v>819</v>
      </c>
      <c r="PJG97" s="975" t="s">
        <v>819</v>
      </c>
      <c r="PJH97" s="975" t="s">
        <v>819</v>
      </c>
      <c r="PJI97" s="975" t="s">
        <v>819</v>
      </c>
      <c r="PJJ97" s="975" t="s">
        <v>819</v>
      </c>
      <c r="PJK97" s="975" t="s">
        <v>819</v>
      </c>
      <c r="PJL97" s="975" t="s">
        <v>819</v>
      </c>
      <c r="PJM97" s="975" t="s">
        <v>819</v>
      </c>
      <c r="PJN97" s="975" t="s">
        <v>819</v>
      </c>
      <c r="PJO97" s="975" t="s">
        <v>819</v>
      </c>
      <c r="PJP97" s="975" t="s">
        <v>819</v>
      </c>
      <c r="PJQ97" s="975" t="s">
        <v>819</v>
      </c>
      <c r="PJR97" s="975" t="s">
        <v>819</v>
      </c>
      <c r="PJS97" s="975" t="s">
        <v>819</v>
      </c>
      <c r="PJT97" s="975" t="s">
        <v>819</v>
      </c>
      <c r="PJU97" s="975" t="s">
        <v>819</v>
      </c>
      <c r="PJV97" s="975" t="s">
        <v>819</v>
      </c>
      <c r="PJW97" s="975" t="s">
        <v>819</v>
      </c>
      <c r="PJX97" s="975" t="s">
        <v>819</v>
      </c>
      <c r="PJY97" s="975" t="s">
        <v>819</v>
      </c>
      <c r="PJZ97" s="975" t="s">
        <v>819</v>
      </c>
      <c r="PKA97" s="975" t="s">
        <v>819</v>
      </c>
      <c r="PKB97" s="975" t="s">
        <v>819</v>
      </c>
      <c r="PKC97" s="975" t="s">
        <v>819</v>
      </c>
      <c r="PKD97" s="975" t="s">
        <v>819</v>
      </c>
      <c r="PKE97" s="975" t="s">
        <v>819</v>
      </c>
      <c r="PKF97" s="975" t="s">
        <v>819</v>
      </c>
      <c r="PKG97" s="975" t="s">
        <v>819</v>
      </c>
      <c r="PKH97" s="975" t="s">
        <v>819</v>
      </c>
      <c r="PKI97" s="975" t="s">
        <v>819</v>
      </c>
      <c r="PKJ97" s="975" t="s">
        <v>819</v>
      </c>
      <c r="PKK97" s="975" t="s">
        <v>819</v>
      </c>
      <c r="PKL97" s="975" t="s">
        <v>819</v>
      </c>
      <c r="PKM97" s="975" t="s">
        <v>819</v>
      </c>
      <c r="PKN97" s="975" t="s">
        <v>819</v>
      </c>
      <c r="PKO97" s="975" t="s">
        <v>819</v>
      </c>
      <c r="PKP97" s="975" t="s">
        <v>819</v>
      </c>
      <c r="PKQ97" s="975" t="s">
        <v>819</v>
      </c>
      <c r="PKR97" s="975" t="s">
        <v>819</v>
      </c>
      <c r="PKS97" s="975" t="s">
        <v>819</v>
      </c>
      <c r="PKT97" s="975" t="s">
        <v>819</v>
      </c>
      <c r="PKU97" s="975" t="s">
        <v>819</v>
      </c>
      <c r="PKV97" s="975" t="s">
        <v>819</v>
      </c>
      <c r="PKW97" s="975" t="s">
        <v>819</v>
      </c>
      <c r="PKX97" s="975" t="s">
        <v>819</v>
      </c>
      <c r="PKY97" s="975" t="s">
        <v>819</v>
      </c>
      <c r="PKZ97" s="975" t="s">
        <v>819</v>
      </c>
      <c r="PLA97" s="975" t="s">
        <v>819</v>
      </c>
      <c r="PLB97" s="975" t="s">
        <v>819</v>
      </c>
      <c r="PLC97" s="975" t="s">
        <v>819</v>
      </c>
      <c r="PLD97" s="975" t="s">
        <v>819</v>
      </c>
      <c r="PLE97" s="975" t="s">
        <v>819</v>
      </c>
      <c r="PLF97" s="975" t="s">
        <v>819</v>
      </c>
      <c r="PLG97" s="975" t="s">
        <v>819</v>
      </c>
      <c r="PLH97" s="975" t="s">
        <v>819</v>
      </c>
      <c r="PLI97" s="975" t="s">
        <v>819</v>
      </c>
      <c r="PLJ97" s="975" t="s">
        <v>819</v>
      </c>
      <c r="PLK97" s="975" t="s">
        <v>819</v>
      </c>
      <c r="PLL97" s="975" t="s">
        <v>819</v>
      </c>
      <c r="PLM97" s="975" t="s">
        <v>819</v>
      </c>
      <c r="PLN97" s="975" t="s">
        <v>819</v>
      </c>
      <c r="PLO97" s="975" t="s">
        <v>819</v>
      </c>
      <c r="PLP97" s="975" t="s">
        <v>819</v>
      </c>
      <c r="PLQ97" s="975" t="s">
        <v>819</v>
      </c>
      <c r="PLR97" s="975" t="s">
        <v>819</v>
      </c>
      <c r="PLS97" s="975" t="s">
        <v>819</v>
      </c>
      <c r="PLT97" s="975" t="s">
        <v>819</v>
      </c>
      <c r="PLU97" s="975" t="s">
        <v>819</v>
      </c>
      <c r="PLV97" s="975" t="s">
        <v>819</v>
      </c>
      <c r="PLW97" s="975" t="s">
        <v>819</v>
      </c>
      <c r="PLX97" s="975" t="s">
        <v>819</v>
      </c>
      <c r="PLY97" s="975" t="s">
        <v>819</v>
      </c>
      <c r="PLZ97" s="975" t="s">
        <v>819</v>
      </c>
      <c r="PMA97" s="975" t="s">
        <v>819</v>
      </c>
      <c r="PMB97" s="975" t="s">
        <v>819</v>
      </c>
      <c r="PMC97" s="975" t="s">
        <v>819</v>
      </c>
      <c r="PMD97" s="975" t="s">
        <v>819</v>
      </c>
      <c r="PME97" s="975" t="s">
        <v>819</v>
      </c>
      <c r="PMF97" s="975" t="s">
        <v>819</v>
      </c>
      <c r="PMG97" s="975" t="s">
        <v>819</v>
      </c>
      <c r="PMH97" s="975" t="s">
        <v>819</v>
      </c>
      <c r="PMI97" s="975" t="s">
        <v>819</v>
      </c>
      <c r="PMJ97" s="975" t="s">
        <v>819</v>
      </c>
      <c r="PMK97" s="975" t="s">
        <v>819</v>
      </c>
      <c r="PML97" s="975" t="s">
        <v>819</v>
      </c>
      <c r="PMM97" s="975" t="s">
        <v>819</v>
      </c>
      <c r="PMN97" s="975" t="s">
        <v>819</v>
      </c>
      <c r="PMO97" s="975" t="s">
        <v>819</v>
      </c>
      <c r="PMP97" s="975" t="s">
        <v>819</v>
      </c>
      <c r="PMQ97" s="975" t="s">
        <v>819</v>
      </c>
      <c r="PMR97" s="975" t="s">
        <v>819</v>
      </c>
      <c r="PMS97" s="975" t="s">
        <v>819</v>
      </c>
      <c r="PMT97" s="975" t="s">
        <v>819</v>
      </c>
      <c r="PMU97" s="975" t="s">
        <v>819</v>
      </c>
      <c r="PMV97" s="975" t="s">
        <v>819</v>
      </c>
      <c r="PMW97" s="975" t="s">
        <v>819</v>
      </c>
      <c r="PMX97" s="975" t="s">
        <v>819</v>
      </c>
      <c r="PMY97" s="975" t="s">
        <v>819</v>
      </c>
      <c r="PMZ97" s="975" t="s">
        <v>819</v>
      </c>
      <c r="PNA97" s="975" t="s">
        <v>819</v>
      </c>
      <c r="PNB97" s="975" t="s">
        <v>819</v>
      </c>
      <c r="PNC97" s="975" t="s">
        <v>819</v>
      </c>
      <c r="PND97" s="975" t="s">
        <v>819</v>
      </c>
      <c r="PNE97" s="975" t="s">
        <v>819</v>
      </c>
      <c r="PNF97" s="975" t="s">
        <v>819</v>
      </c>
      <c r="PNG97" s="975" t="s">
        <v>819</v>
      </c>
      <c r="PNH97" s="975" t="s">
        <v>819</v>
      </c>
      <c r="PNI97" s="975" t="s">
        <v>819</v>
      </c>
      <c r="PNJ97" s="975" t="s">
        <v>819</v>
      </c>
      <c r="PNK97" s="975" t="s">
        <v>819</v>
      </c>
      <c r="PNL97" s="975" t="s">
        <v>819</v>
      </c>
      <c r="PNM97" s="975" t="s">
        <v>819</v>
      </c>
      <c r="PNN97" s="975" t="s">
        <v>819</v>
      </c>
      <c r="PNO97" s="975" t="s">
        <v>819</v>
      </c>
      <c r="PNP97" s="975" t="s">
        <v>819</v>
      </c>
      <c r="PNQ97" s="975" t="s">
        <v>819</v>
      </c>
      <c r="PNR97" s="975" t="s">
        <v>819</v>
      </c>
      <c r="PNS97" s="975" t="s">
        <v>819</v>
      </c>
      <c r="PNT97" s="975" t="s">
        <v>819</v>
      </c>
      <c r="PNU97" s="975" t="s">
        <v>819</v>
      </c>
      <c r="PNV97" s="975" t="s">
        <v>819</v>
      </c>
      <c r="PNW97" s="975" t="s">
        <v>819</v>
      </c>
      <c r="PNX97" s="975" t="s">
        <v>819</v>
      </c>
      <c r="PNY97" s="975" t="s">
        <v>819</v>
      </c>
      <c r="PNZ97" s="975" t="s">
        <v>819</v>
      </c>
      <c r="POA97" s="975" t="s">
        <v>819</v>
      </c>
      <c r="POB97" s="975" t="s">
        <v>819</v>
      </c>
      <c r="POC97" s="975" t="s">
        <v>819</v>
      </c>
      <c r="POD97" s="975" t="s">
        <v>819</v>
      </c>
      <c r="POE97" s="975" t="s">
        <v>819</v>
      </c>
      <c r="POF97" s="975" t="s">
        <v>819</v>
      </c>
      <c r="POG97" s="975" t="s">
        <v>819</v>
      </c>
      <c r="POH97" s="975" t="s">
        <v>819</v>
      </c>
      <c r="POI97" s="975" t="s">
        <v>819</v>
      </c>
      <c r="POJ97" s="975" t="s">
        <v>819</v>
      </c>
      <c r="POK97" s="975" t="s">
        <v>819</v>
      </c>
      <c r="POL97" s="975" t="s">
        <v>819</v>
      </c>
      <c r="POM97" s="975" t="s">
        <v>819</v>
      </c>
      <c r="PON97" s="975" t="s">
        <v>819</v>
      </c>
      <c r="POO97" s="975" t="s">
        <v>819</v>
      </c>
      <c r="POP97" s="975" t="s">
        <v>819</v>
      </c>
      <c r="POQ97" s="975" t="s">
        <v>819</v>
      </c>
      <c r="POR97" s="975" t="s">
        <v>819</v>
      </c>
      <c r="POS97" s="975" t="s">
        <v>819</v>
      </c>
      <c r="POT97" s="975" t="s">
        <v>819</v>
      </c>
      <c r="POU97" s="975" t="s">
        <v>819</v>
      </c>
      <c r="POV97" s="975" t="s">
        <v>819</v>
      </c>
      <c r="POW97" s="975" t="s">
        <v>819</v>
      </c>
      <c r="POX97" s="975" t="s">
        <v>819</v>
      </c>
      <c r="POY97" s="975" t="s">
        <v>819</v>
      </c>
      <c r="POZ97" s="975" t="s">
        <v>819</v>
      </c>
      <c r="PPA97" s="975" t="s">
        <v>819</v>
      </c>
      <c r="PPB97" s="975" t="s">
        <v>819</v>
      </c>
      <c r="PPC97" s="975" t="s">
        <v>819</v>
      </c>
      <c r="PPD97" s="975" t="s">
        <v>819</v>
      </c>
      <c r="PPE97" s="975" t="s">
        <v>819</v>
      </c>
      <c r="PPF97" s="975" t="s">
        <v>819</v>
      </c>
      <c r="PPG97" s="975" t="s">
        <v>819</v>
      </c>
      <c r="PPH97" s="975" t="s">
        <v>819</v>
      </c>
      <c r="PPI97" s="975" t="s">
        <v>819</v>
      </c>
      <c r="PPJ97" s="975" t="s">
        <v>819</v>
      </c>
      <c r="PPK97" s="975" t="s">
        <v>819</v>
      </c>
      <c r="PPL97" s="975" t="s">
        <v>819</v>
      </c>
      <c r="PPM97" s="975" t="s">
        <v>819</v>
      </c>
      <c r="PPN97" s="975" t="s">
        <v>819</v>
      </c>
      <c r="PPO97" s="975" t="s">
        <v>819</v>
      </c>
      <c r="PPP97" s="975" t="s">
        <v>819</v>
      </c>
      <c r="PPQ97" s="975" t="s">
        <v>819</v>
      </c>
      <c r="PPR97" s="975" t="s">
        <v>819</v>
      </c>
      <c r="PPS97" s="975" t="s">
        <v>819</v>
      </c>
      <c r="PPT97" s="975" t="s">
        <v>819</v>
      </c>
      <c r="PPU97" s="975" t="s">
        <v>819</v>
      </c>
      <c r="PPV97" s="975" t="s">
        <v>819</v>
      </c>
      <c r="PPW97" s="975" t="s">
        <v>819</v>
      </c>
      <c r="PPX97" s="975" t="s">
        <v>819</v>
      </c>
      <c r="PPY97" s="975" t="s">
        <v>819</v>
      </c>
      <c r="PPZ97" s="975" t="s">
        <v>819</v>
      </c>
      <c r="PQA97" s="975" t="s">
        <v>819</v>
      </c>
      <c r="PQB97" s="975" t="s">
        <v>819</v>
      </c>
      <c r="PQC97" s="975" t="s">
        <v>819</v>
      </c>
      <c r="PQD97" s="975" t="s">
        <v>819</v>
      </c>
      <c r="PQE97" s="975" t="s">
        <v>819</v>
      </c>
      <c r="PQF97" s="975" t="s">
        <v>819</v>
      </c>
      <c r="PQG97" s="975" t="s">
        <v>819</v>
      </c>
      <c r="PQH97" s="975" t="s">
        <v>819</v>
      </c>
      <c r="PQI97" s="975" t="s">
        <v>819</v>
      </c>
      <c r="PQJ97" s="975" t="s">
        <v>819</v>
      </c>
      <c r="PQK97" s="975" t="s">
        <v>819</v>
      </c>
      <c r="PQL97" s="975" t="s">
        <v>819</v>
      </c>
      <c r="PQM97" s="975" t="s">
        <v>819</v>
      </c>
      <c r="PQN97" s="975" t="s">
        <v>819</v>
      </c>
      <c r="PQO97" s="975" t="s">
        <v>819</v>
      </c>
      <c r="PQP97" s="975" t="s">
        <v>819</v>
      </c>
      <c r="PQQ97" s="975" t="s">
        <v>819</v>
      </c>
      <c r="PQR97" s="975" t="s">
        <v>819</v>
      </c>
      <c r="PQS97" s="975" t="s">
        <v>819</v>
      </c>
      <c r="PQT97" s="975" t="s">
        <v>819</v>
      </c>
      <c r="PQU97" s="975" t="s">
        <v>819</v>
      </c>
      <c r="PQV97" s="975" t="s">
        <v>819</v>
      </c>
      <c r="PQW97" s="975" t="s">
        <v>819</v>
      </c>
      <c r="PQX97" s="975" t="s">
        <v>819</v>
      </c>
      <c r="PQY97" s="975" t="s">
        <v>819</v>
      </c>
      <c r="PQZ97" s="975" t="s">
        <v>819</v>
      </c>
      <c r="PRA97" s="975" t="s">
        <v>819</v>
      </c>
      <c r="PRB97" s="975" t="s">
        <v>819</v>
      </c>
      <c r="PRC97" s="975" t="s">
        <v>819</v>
      </c>
      <c r="PRD97" s="975" t="s">
        <v>819</v>
      </c>
      <c r="PRE97" s="975" t="s">
        <v>819</v>
      </c>
      <c r="PRF97" s="975" t="s">
        <v>819</v>
      </c>
      <c r="PRG97" s="975" t="s">
        <v>819</v>
      </c>
      <c r="PRH97" s="975" t="s">
        <v>819</v>
      </c>
      <c r="PRI97" s="975" t="s">
        <v>819</v>
      </c>
      <c r="PRJ97" s="975" t="s">
        <v>819</v>
      </c>
      <c r="PRK97" s="975" t="s">
        <v>819</v>
      </c>
      <c r="PRL97" s="975" t="s">
        <v>819</v>
      </c>
      <c r="PRM97" s="975" t="s">
        <v>819</v>
      </c>
      <c r="PRN97" s="975" t="s">
        <v>819</v>
      </c>
      <c r="PRO97" s="975" t="s">
        <v>819</v>
      </c>
      <c r="PRP97" s="975" t="s">
        <v>819</v>
      </c>
      <c r="PRQ97" s="975" t="s">
        <v>819</v>
      </c>
      <c r="PRR97" s="975" t="s">
        <v>819</v>
      </c>
      <c r="PRS97" s="975" t="s">
        <v>819</v>
      </c>
      <c r="PRT97" s="975" t="s">
        <v>819</v>
      </c>
      <c r="PRU97" s="975" t="s">
        <v>819</v>
      </c>
      <c r="PRV97" s="975" t="s">
        <v>819</v>
      </c>
      <c r="PRW97" s="975" t="s">
        <v>819</v>
      </c>
      <c r="PRX97" s="975" t="s">
        <v>819</v>
      </c>
      <c r="PRY97" s="975" t="s">
        <v>819</v>
      </c>
      <c r="PRZ97" s="975" t="s">
        <v>819</v>
      </c>
      <c r="PSA97" s="975" t="s">
        <v>819</v>
      </c>
      <c r="PSB97" s="975" t="s">
        <v>819</v>
      </c>
      <c r="PSC97" s="975" t="s">
        <v>819</v>
      </c>
      <c r="PSD97" s="975" t="s">
        <v>819</v>
      </c>
      <c r="PSE97" s="975" t="s">
        <v>819</v>
      </c>
      <c r="PSF97" s="975" t="s">
        <v>819</v>
      </c>
      <c r="PSG97" s="975" t="s">
        <v>819</v>
      </c>
      <c r="PSH97" s="975" t="s">
        <v>819</v>
      </c>
      <c r="PSI97" s="975" t="s">
        <v>819</v>
      </c>
      <c r="PSJ97" s="975" t="s">
        <v>819</v>
      </c>
      <c r="PSK97" s="975" t="s">
        <v>819</v>
      </c>
      <c r="PSL97" s="975" t="s">
        <v>819</v>
      </c>
      <c r="PSM97" s="975" t="s">
        <v>819</v>
      </c>
      <c r="PSN97" s="975" t="s">
        <v>819</v>
      </c>
      <c r="PSO97" s="975" t="s">
        <v>819</v>
      </c>
      <c r="PSP97" s="975" t="s">
        <v>819</v>
      </c>
      <c r="PSQ97" s="975" t="s">
        <v>819</v>
      </c>
      <c r="PSR97" s="975" t="s">
        <v>819</v>
      </c>
      <c r="PSS97" s="975" t="s">
        <v>819</v>
      </c>
      <c r="PST97" s="975" t="s">
        <v>819</v>
      </c>
      <c r="PSU97" s="975" t="s">
        <v>819</v>
      </c>
      <c r="PSV97" s="975" t="s">
        <v>819</v>
      </c>
      <c r="PSW97" s="975" t="s">
        <v>819</v>
      </c>
      <c r="PSX97" s="975" t="s">
        <v>819</v>
      </c>
      <c r="PSY97" s="975" t="s">
        <v>819</v>
      </c>
      <c r="PSZ97" s="975" t="s">
        <v>819</v>
      </c>
      <c r="PTA97" s="975" t="s">
        <v>819</v>
      </c>
      <c r="PTB97" s="975" t="s">
        <v>819</v>
      </c>
      <c r="PTC97" s="975" t="s">
        <v>819</v>
      </c>
      <c r="PTD97" s="975" t="s">
        <v>819</v>
      </c>
      <c r="PTE97" s="975" t="s">
        <v>819</v>
      </c>
      <c r="PTF97" s="975" t="s">
        <v>819</v>
      </c>
      <c r="PTG97" s="975" t="s">
        <v>819</v>
      </c>
      <c r="PTH97" s="975" t="s">
        <v>819</v>
      </c>
      <c r="PTI97" s="975" t="s">
        <v>819</v>
      </c>
      <c r="PTJ97" s="975" t="s">
        <v>819</v>
      </c>
      <c r="PTK97" s="975" t="s">
        <v>819</v>
      </c>
      <c r="PTL97" s="975" t="s">
        <v>819</v>
      </c>
      <c r="PTM97" s="975" t="s">
        <v>819</v>
      </c>
      <c r="PTN97" s="975" t="s">
        <v>819</v>
      </c>
      <c r="PTO97" s="975" t="s">
        <v>819</v>
      </c>
      <c r="PTP97" s="975" t="s">
        <v>819</v>
      </c>
      <c r="PTQ97" s="975" t="s">
        <v>819</v>
      </c>
      <c r="PTR97" s="975" t="s">
        <v>819</v>
      </c>
      <c r="PTS97" s="975" t="s">
        <v>819</v>
      </c>
      <c r="PTT97" s="975" t="s">
        <v>819</v>
      </c>
      <c r="PTU97" s="975" t="s">
        <v>819</v>
      </c>
      <c r="PTV97" s="975" t="s">
        <v>819</v>
      </c>
      <c r="PTW97" s="975" t="s">
        <v>819</v>
      </c>
      <c r="PTX97" s="975" t="s">
        <v>819</v>
      </c>
      <c r="PTY97" s="975" t="s">
        <v>819</v>
      </c>
      <c r="PTZ97" s="975" t="s">
        <v>819</v>
      </c>
      <c r="PUA97" s="975" t="s">
        <v>819</v>
      </c>
      <c r="PUB97" s="975" t="s">
        <v>819</v>
      </c>
      <c r="PUC97" s="975" t="s">
        <v>819</v>
      </c>
      <c r="PUD97" s="975" t="s">
        <v>819</v>
      </c>
      <c r="PUE97" s="975" t="s">
        <v>819</v>
      </c>
      <c r="PUF97" s="975" t="s">
        <v>819</v>
      </c>
      <c r="PUG97" s="975" t="s">
        <v>819</v>
      </c>
      <c r="PUH97" s="975" t="s">
        <v>819</v>
      </c>
      <c r="PUI97" s="975" t="s">
        <v>819</v>
      </c>
      <c r="PUJ97" s="975" t="s">
        <v>819</v>
      </c>
      <c r="PUK97" s="975" t="s">
        <v>819</v>
      </c>
      <c r="PUL97" s="975" t="s">
        <v>819</v>
      </c>
      <c r="PUM97" s="975" t="s">
        <v>819</v>
      </c>
      <c r="PUN97" s="975" t="s">
        <v>819</v>
      </c>
      <c r="PUO97" s="975" t="s">
        <v>819</v>
      </c>
      <c r="PUP97" s="975" t="s">
        <v>819</v>
      </c>
      <c r="PUQ97" s="975" t="s">
        <v>819</v>
      </c>
      <c r="PUR97" s="975" t="s">
        <v>819</v>
      </c>
      <c r="PUS97" s="975" t="s">
        <v>819</v>
      </c>
      <c r="PUT97" s="975" t="s">
        <v>819</v>
      </c>
      <c r="PUU97" s="975" t="s">
        <v>819</v>
      </c>
      <c r="PUV97" s="975" t="s">
        <v>819</v>
      </c>
      <c r="PUW97" s="975" t="s">
        <v>819</v>
      </c>
      <c r="PUX97" s="975" t="s">
        <v>819</v>
      </c>
      <c r="PUY97" s="975" t="s">
        <v>819</v>
      </c>
      <c r="PUZ97" s="975" t="s">
        <v>819</v>
      </c>
      <c r="PVA97" s="975" t="s">
        <v>819</v>
      </c>
      <c r="PVB97" s="975" t="s">
        <v>819</v>
      </c>
      <c r="PVC97" s="975" t="s">
        <v>819</v>
      </c>
      <c r="PVD97" s="975" t="s">
        <v>819</v>
      </c>
      <c r="PVE97" s="975" t="s">
        <v>819</v>
      </c>
      <c r="PVF97" s="975" t="s">
        <v>819</v>
      </c>
      <c r="PVG97" s="975" t="s">
        <v>819</v>
      </c>
      <c r="PVH97" s="975" t="s">
        <v>819</v>
      </c>
      <c r="PVI97" s="975" t="s">
        <v>819</v>
      </c>
      <c r="PVJ97" s="975" t="s">
        <v>819</v>
      </c>
      <c r="PVK97" s="975" t="s">
        <v>819</v>
      </c>
      <c r="PVL97" s="975" t="s">
        <v>819</v>
      </c>
      <c r="PVM97" s="975" t="s">
        <v>819</v>
      </c>
      <c r="PVN97" s="975" t="s">
        <v>819</v>
      </c>
      <c r="PVO97" s="975" t="s">
        <v>819</v>
      </c>
      <c r="PVP97" s="975" t="s">
        <v>819</v>
      </c>
      <c r="PVQ97" s="975" t="s">
        <v>819</v>
      </c>
      <c r="PVR97" s="975" t="s">
        <v>819</v>
      </c>
      <c r="PVS97" s="975" t="s">
        <v>819</v>
      </c>
      <c r="PVT97" s="975" t="s">
        <v>819</v>
      </c>
      <c r="PVU97" s="975" t="s">
        <v>819</v>
      </c>
      <c r="PVV97" s="975" t="s">
        <v>819</v>
      </c>
      <c r="PVW97" s="975" t="s">
        <v>819</v>
      </c>
      <c r="PVX97" s="975" t="s">
        <v>819</v>
      </c>
      <c r="PVY97" s="975" t="s">
        <v>819</v>
      </c>
      <c r="PVZ97" s="975" t="s">
        <v>819</v>
      </c>
      <c r="PWA97" s="975" t="s">
        <v>819</v>
      </c>
      <c r="PWB97" s="975" t="s">
        <v>819</v>
      </c>
      <c r="PWC97" s="975" t="s">
        <v>819</v>
      </c>
      <c r="PWD97" s="975" t="s">
        <v>819</v>
      </c>
      <c r="PWE97" s="975" t="s">
        <v>819</v>
      </c>
      <c r="PWF97" s="975" t="s">
        <v>819</v>
      </c>
      <c r="PWG97" s="975" t="s">
        <v>819</v>
      </c>
      <c r="PWH97" s="975" t="s">
        <v>819</v>
      </c>
      <c r="PWI97" s="975" t="s">
        <v>819</v>
      </c>
      <c r="PWJ97" s="975" t="s">
        <v>819</v>
      </c>
      <c r="PWK97" s="975" t="s">
        <v>819</v>
      </c>
      <c r="PWL97" s="975" t="s">
        <v>819</v>
      </c>
      <c r="PWM97" s="975" t="s">
        <v>819</v>
      </c>
      <c r="PWN97" s="975" t="s">
        <v>819</v>
      </c>
      <c r="PWO97" s="975" t="s">
        <v>819</v>
      </c>
      <c r="PWP97" s="975" t="s">
        <v>819</v>
      </c>
      <c r="PWQ97" s="975" t="s">
        <v>819</v>
      </c>
      <c r="PWR97" s="975" t="s">
        <v>819</v>
      </c>
      <c r="PWS97" s="975" t="s">
        <v>819</v>
      </c>
      <c r="PWT97" s="975" t="s">
        <v>819</v>
      </c>
      <c r="PWU97" s="975" t="s">
        <v>819</v>
      </c>
      <c r="PWV97" s="975" t="s">
        <v>819</v>
      </c>
      <c r="PWW97" s="975" t="s">
        <v>819</v>
      </c>
      <c r="PWX97" s="975" t="s">
        <v>819</v>
      </c>
      <c r="PWY97" s="975" t="s">
        <v>819</v>
      </c>
      <c r="PWZ97" s="975" t="s">
        <v>819</v>
      </c>
      <c r="PXA97" s="975" t="s">
        <v>819</v>
      </c>
      <c r="PXB97" s="975" t="s">
        <v>819</v>
      </c>
      <c r="PXC97" s="975" t="s">
        <v>819</v>
      </c>
      <c r="PXD97" s="975" t="s">
        <v>819</v>
      </c>
      <c r="PXE97" s="975" t="s">
        <v>819</v>
      </c>
      <c r="PXF97" s="975" t="s">
        <v>819</v>
      </c>
      <c r="PXG97" s="975" t="s">
        <v>819</v>
      </c>
      <c r="PXH97" s="975" t="s">
        <v>819</v>
      </c>
      <c r="PXI97" s="975" t="s">
        <v>819</v>
      </c>
      <c r="PXJ97" s="975" t="s">
        <v>819</v>
      </c>
      <c r="PXK97" s="975" t="s">
        <v>819</v>
      </c>
      <c r="PXL97" s="975" t="s">
        <v>819</v>
      </c>
      <c r="PXM97" s="975" t="s">
        <v>819</v>
      </c>
      <c r="PXN97" s="975" t="s">
        <v>819</v>
      </c>
      <c r="PXO97" s="975" t="s">
        <v>819</v>
      </c>
      <c r="PXP97" s="975" t="s">
        <v>819</v>
      </c>
      <c r="PXQ97" s="975" t="s">
        <v>819</v>
      </c>
      <c r="PXR97" s="975" t="s">
        <v>819</v>
      </c>
      <c r="PXS97" s="975" t="s">
        <v>819</v>
      </c>
      <c r="PXT97" s="975" t="s">
        <v>819</v>
      </c>
      <c r="PXU97" s="975" t="s">
        <v>819</v>
      </c>
      <c r="PXV97" s="975" t="s">
        <v>819</v>
      </c>
      <c r="PXW97" s="975" t="s">
        <v>819</v>
      </c>
      <c r="PXX97" s="975" t="s">
        <v>819</v>
      </c>
      <c r="PXY97" s="975" t="s">
        <v>819</v>
      </c>
      <c r="PXZ97" s="975" t="s">
        <v>819</v>
      </c>
      <c r="PYA97" s="975" t="s">
        <v>819</v>
      </c>
      <c r="PYB97" s="975" t="s">
        <v>819</v>
      </c>
      <c r="PYC97" s="975" t="s">
        <v>819</v>
      </c>
      <c r="PYD97" s="975" t="s">
        <v>819</v>
      </c>
      <c r="PYE97" s="975" t="s">
        <v>819</v>
      </c>
      <c r="PYF97" s="975" t="s">
        <v>819</v>
      </c>
      <c r="PYG97" s="975" t="s">
        <v>819</v>
      </c>
      <c r="PYH97" s="975" t="s">
        <v>819</v>
      </c>
      <c r="PYI97" s="975" t="s">
        <v>819</v>
      </c>
      <c r="PYJ97" s="975" t="s">
        <v>819</v>
      </c>
      <c r="PYK97" s="975" t="s">
        <v>819</v>
      </c>
      <c r="PYL97" s="975" t="s">
        <v>819</v>
      </c>
      <c r="PYM97" s="975" t="s">
        <v>819</v>
      </c>
      <c r="PYN97" s="975" t="s">
        <v>819</v>
      </c>
      <c r="PYO97" s="975" t="s">
        <v>819</v>
      </c>
      <c r="PYP97" s="975" t="s">
        <v>819</v>
      </c>
      <c r="PYQ97" s="975" t="s">
        <v>819</v>
      </c>
      <c r="PYR97" s="975" t="s">
        <v>819</v>
      </c>
      <c r="PYS97" s="975" t="s">
        <v>819</v>
      </c>
      <c r="PYT97" s="975" t="s">
        <v>819</v>
      </c>
      <c r="PYU97" s="975" t="s">
        <v>819</v>
      </c>
      <c r="PYV97" s="975" t="s">
        <v>819</v>
      </c>
      <c r="PYW97" s="975" t="s">
        <v>819</v>
      </c>
      <c r="PYX97" s="975" t="s">
        <v>819</v>
      </c>
      <c r="PYY97" s="975" t="s">
        <v>819</v>
      </c>
      <c r="PYZ97" s="975" t="s">
        <v>819</v>
      </c>
      <c r="PZA97" s="975" t="s">
        <v>819</v>
      </c>
      <c r="PZB97" s="975" t="s">
        <v>819</v>
      </c>
      <c r="PZC97" s="975" t="s">
        <v>819</v>
      </c>
      <c r="PZD97" s="975" t="s">
        <v>819</v>
      </c>
      <c r="PZE97" s="975" t="s">
        <v>819</v>
      </c>
      <c r="PZF97" s="975" t="s">
        <v>819</v>
      </c>
      <c r="PZG97" s="975" t="s">
        <v>819</v>
      </c>
      <c r="PZH97" s="975" t="s">
        <v>819</v>
      </c>
      <c r="PZI97" s="975" t="s">
        <v>819</v>
      </c>
      <c r="PZJ97" s="975" t="s">
        <v>819</v>
      </c>
      <c r="PZK97" s="975" t="s">
        <v>819</v>
      </c>
      <c r="PZL97" s="975" t="s">
        <v>819</v>
      </c>
      <c r="PZM97" s="975" t="s">
        <v>819</v>
      </c>
      <c r="PZN97" s="975" t="s">
        <v>819</v>
      </c>
      <c r="PZO97" s="975" t="s">
        <v>819</v>
      </c>
      <c r="PZP97" s="975" t="s">
        <v>819</v>
      </c>
      <c r="PZQ97" s="975" t="s">
        <v>819</v>
      </c>
      <c r="PZR97" s="975" t="s">
        <v>819</v>
      </c>
      <c r="PZS97" s="975" t="s">
        <v>819</v>
      </c>
      <c r="PZT97" s="975" t="s">
        <v>819</v>
      </c>
      <c r="PZU97" s="975" t="s">
        <v>819</v>
      </c>
      <c r="PZV97" s="975" t="s">
        <v>819</v>
      </c>
      <c r="PZW97" s="975" t="s">
        <v>819</v>
      </c>
      <c r="PZX97" s="975" t="s">
        <v>819</v>
      </c>
      <c r="PZY97" s="975" t="s">
        <v>819</v>
      </c>
      <c r="PZZ97" s="975" t="s">
        <v>819</v>
      </c>
      <c r="QAA97" s="975" t="s">
        <v>819</v>
      </c>
      <c r="QAB97" s="975" t="s">
        <v>819</v>
      </c>
      <c r="QAC97" s="975" t="s">
        <v>819</v>
      </c>
      <c r="QAD97" s="975" t="s">
        <v>819</v>
      </c>
      <c r="QAE97" s="975" t="s">
        <v>819</v>
      </c>
      <c r="QAF97" s="975" t="s">
        <v>819</v>
      </c>
      <c r="QAG97" s="975" t="s">
        <v>819</v>
      </c>
      <c r="QAH97" s="975" t="s">
        <v>819</v>
      </c>
      <c r="QAI97" s="975" t="s">
        <v>819</v>
      </c>
      <c r="QAJ97" s="975" t="s">
        <v>819</v>
      </c>
      <c r="QAK97" s="975" t="s">
        <v>819</v>
      </c>
      <c r="QAL97" s="975" t="s">
        <v>819</v>
      </c>
      <c r="QAM97" s="975" t="s">
        <v>819</v>
      </c>
      <c r="QAN97" s="975" t="s">
        <v>819</v>
      </c>
      <c r="QAO97" s="975" t="s">
        <v>819</v>
      </c>
      <c r="QAP97" s="975" t="s">
        <v>819</v>
      </c>
      <c r="QAQ97" s="975" t="s">
        <v>819</v>
      </c>
      <c r="QAR97" s="975" t="s">
        <v>819</v>
      </c>
      <c r="QAS97" s="975" t="s">
        <v>819</v>
      </c>
      <c r="QAT97" s="975" t="s">
        <v>819</v>
      </c>
      <c r="QAU97" s="975" t="s">
        <v>819</v>
      </c>
      <c r="QAV97" s="975" t="s">
        <v>819</v>
      </c>
      <c r="QAW97" s="975" t="s">
        <v>819</v>
      </c>
      <c r="QAX97" s="975" t="s">
        <v>819</v>
      </c>
      <c r="QAY97" s="975" t="s">
        <v>819</v>
      </c>
      <c r="QAZ97" s="975" t="s">
        <v>819</v>
      </c>
      <c r="QBA97" s="975" t="s">
        <v>819</v>
      </c>
      <c r="QBB97" s="975" t="s">
        <v>819</v>
      </c>
      <c r="QBC97" s="975" t="s">
        <v>819</v>
      </c>
      <c r="QBD97" s="975" t="s">
        <v>819</v>
      </c>
      <c r="QBE97" s="975" t="s">
        <v>819</v>
      </c>
      <c r="QBF97" s="975" t="s">
        <v>819</v>
      </c>
      <c r="QBG97" s="975" t="s">
        <v>819</v>
      </c>
      <c r="QBH97" s="975" t="s">
        <v>819</v>
      </c>
      <c r="QBI97" s="975" t="s">
        <v>819</v>
      </c>
      <c r="QBJ97" s="975" t="s">
        <v>819</v>
      </c>
      <c r="QBK97" s="975" t="s">
        <v>819</v>
      </c>
      <c r="QBL97" s="975" t="s">
        <v>819</v>
      </c>
      <c r="QBM97" s="975" t="s">
        <v>819</v>
      </c>
      <c r="QBN97" s="975" t="s">
        <v>819</v>
      </c>
      <c r="QBO97" s="975" t="s">
        <v>819</v>
      </c>
      <c r="QBP97" s="975" t="s">
        <v>819</v>
      </c>
      <c r="QBQ97" s="975" t="s">
        <v>819</v>
      </c>
      <c r="QBR97" s="975" t="s">
        <v>819</v>
      </c>
      <c r="QBS97" s="975" t="s">
        <v>819</v>
      </c>
      <c r="QBT97" s="975" t="s">
        <v>819</v>
      </c>
      <c r="QBU97" s="975" t="s">
        <v>819</v>
      </c>
      <c r="QBV97" s="975" t="s">
        <v>819</v>
      </c>
      <c r="QBW97" s="975" t="s">
        <v>819</v>
      </c>
      <c r="QBX97" s="975" t="s">
        <v>819</v>
      </c>
      <c r="QBY97" s="975" t="s">
        <v>819</v>
      </c>
      <c r="QBZ97" s="975" t="s">
        <v>819</v>
      </c>
      <c r="QCA97" s="975" t="s">
        <v>819</v>
      </c>
      <c r="QCB97" s="975" t="s">
        <v>819</v>
      </c>
      <c r="QCC97" s="975" t="s">
        <v>819</v>
      </c>
      <c r="QCD97" s="975" t="s">
        <v>819</v>
      </c>
      <c r="QCE97" s="975" t="s">
        <v>819</v>
      </c>
      <c r="QCF97" s="975" t="s">
        <v>819</v>
      </c>
      <c r="QCG97" s="975" t="s">
        <v>819</v>
      </c>
      <c r="QCH97" s="975" t="s">
        <v>819</v>
      </c>
      <c r="QCI97" s="975" t="s">
        <v>819</v>
      </c>
      <c r="QCJ97" s="975" t="s">
        <v>819</v>
      </c>
      <c r="QCK97" s="975" t="s">
        <v>819</v>
      </c>
      <c r="QCL97" s="975" t="s">
        <v>819</v>
      </c>
      <c r="QCM97" s="975" t="s">
        <v>819</v>
      </c>
      <c r="QCN97" s="975" t="s">
        <v>819</v>
      </c>
      <c r="QCO97" s="975" t="s">
        <v>819</v>
      </c>
      <c r="QCP97" s="975" t="s">
        <v>819</v>
      </c>
      <c r="QCQ97" s="975" t="s">
        <v>819</v>
      </c>
      <c r="QCR97" s="975" t="s">
        <v>819</v>
      </c>
      <c r="QCS97" s="975" t="s">
        <v>819</v>
      </c>
      <c r="QCT97" s="975" t="s">
        <v>819</v>
      </c>
      <c r="QCU97" s="975" t="s">
        <v>819</v>
      </c>
      <c r="QCV97" s="975" t="s">
        <v>819</v>
      </c>
      <c r="QCW97" s="975" t="s">
        <v>819</v>
      </c>
      <c r="QCX97" s="975" t="s">
        <v>819</v>
      </c>
      <c r="QCY97" s="975" t="s">
        <v>819</v>
      </c>
      <c r="QCZ97" s="975" t="s">
        <v>819</v>
      </c>
      <c r="QDA97" s="975" t="s">
        <v>819</v>
      </c>
      <c r="QDB97" s="975" t="s">
        <v>819</v>
      </c>
      <c r="QDC97" s="975" t="s">
        <v>819</v>
      </c>
      <c r="QDD97" s="975" t="s">
        <v>819</v>
      </c>
      <c r="QDE97" s="975" t="s">
        <v>819</v>
      </c>
      <c r="QDF97" s="975" t="s">
        <v>819</v>
      </c>
      <c r="QDG97" s="975" t="s">
        <v>819</v>
      </c>
      <c r="QDH97" s="975" t="s">
        <v>819</v>
      </c>
      <c r="QDI97" s="975" t="s">
        <v>819</v>
      </c>
      <c r="QDJ97" s="975" t="s">
        <v>819</v>
      </c>
      <c r="QDK97" s="975" t="s">
        <v>819</v>
      </c>
      <c r="QDL97" s="975" t="s">
        <v>819</v>
      </c>
      <c r="QDM97" s="975" t="s">
        <v>819</v>
      </c>
      <c r="QDN97" s="975" t="s">
        <v>819</v>
      </c>
      <c r="QDO97" s="975" t="s">
        <v>819</v>
      </c>
      <c r="QDP97" s="975" t="s">
        <v>819</v>
      </c>
      <c r="QDQ97" s="975" t="s">
        <v>819</v>
      </c>
      <c r="QDR97" s="975" t="s">
        <v>819</v>
      </c>
      <c r="QDS97" s="975" t="s">
        <v>819</v>
      </c>
      <c r="QDT97" s="975" t="s">
        <v>819</v>
      </c>
      <c r="QDU97" s="975" t="s">
        <v>819</v>
      </c>
      <c r="QDV97" s="975" t="s">
        <v>819</v>
      </c>
      <c r="QDW97" s="975" t="s">
        <v>819</v>
      </c>
      <c r="QDX97" s="975" t="s">
        <v>819</v>
      </c>
      <c r="QDY97" s="975" t="s">
        <v>819</v>
      </c>
      <c r="QDZ97" s="975" t="s">
        <v>819</v>
      </c>
      <c r="QEA97" s="975" t="s">
        <v>819</v>
      </c>
      <c r="QEB97" s="975" t="s">
        <v>819</v>
      </c>
      <c r="QEC97" s="975" t="s">
        <v>819</v>
      </c>
      <c r="QED97" s="975" t="s">
        <v>819</v>
      </c>
      <c r="QEE97" s="975" t="s">
        <v>819</v>
      </c>
      <c r="QEF97" s="975" t="s">
        <v>819</v>
      </c>
      <c r="QEG97" s="975" t="s">
        <v>819</v>
      </c>
      <c r="QEH97" s="975" t="s">
        <v>819</v>
      </c>
      <c r="QEI97" s="975" t="s">
        <v>819</v>
      </c>
      <c r="QEJ97" s="975" t="s">
        <v>819</v>
      </c>
      <c r="QEK97" s="975" t="s">
        <v>819</v>
      </c>
      <c r="QEL97" s="975" t="s">
        <v>819</v>
      </c>
      <c r="QEM97" s="975" t="s">
        <v>819</v>
      </c>
      <c r="QEN97" s="975" t="s">
        <v>819</v>
      </c>
      <c r="QEO97" s="975" t="s">
        <v>819</v>
      </c>
      <c r="QEP97" s="975" t="s">
        <v>819</v>
      </c>
      <c r="QEQ97" s="975" t="s">
        <v>819</v>
      </c>
      <c r="QER97" s="975" t="s">
        <v>819</v>
      </c>
      <c r="QES97" s="975" t="s">
        <v>819</v>
      </c>
      <c r="QET97" s="975" t="s">
        <v>819</v>
      </c>
      <c r="QEU97" s="975" t="s">
        <v>819</v>
      </c>
      <c r="QEV97" s="975" t="s">
        <v>819</v>
      </c>
      <c r="QEW97" s="975" t="s">
        <v>819</v>
      </c>
      <c r="QEX97" s="975" t="s">
        <v>819</v>
      </c>
      <c r="QEY97" s="975" t="s">
        <v>819</v>
      </c>
      <c r="QEZ97" s="975" t="s">
        <v>819</v>
      </c>
      <c r="QFA97" s="975" t="s">
        <v>819</v>
      </c>
      <c r="QFB97" s="975" t="s">
        <v>819</v>
      </c>
      <c r="QFC97" s="975" t="s">
        <v>819</v>
      </c>
      <c r="QFD97" s="975" t="s">
        <v>819</v>
      </c>
      <c r="QFE97" s="975" t="s">
        <v>819</v>
      </c>
      <c r="QFF97" s="975" t="s">
        <v>819</v>
      </c>
      <c r="QFG97" s="975" t="s">
        <v>819</v>
      </c>
      <c r="QFH97" s="975" t="s">
        <v>819</v>
      </c>
      <c r="QFI97" s="975" t="s">
        <v>819</v>
      </c>
      <c r="QFJ97" s="975" t="s">
        <v>819</v>
      </c>
      <c r="QFK97" s="975" t="s">
        <v>819</v>
      </c>
      <c r="QFL97" s="975" t="s">
        <v>819</v>
      </c>
      <c r="QFM97" s="975" t="s">
        <v>819</v>
      </c>
      <c r="QFN97" s="975" t="s">
        <v>819</v>
      </c>
      <c r="QFO97" s="975" t="s">
        <v>819</v>
      </c>
      <c r="QFP97" s="975" t="s">
        <v>819</v>
      </c>
      <c r="QFQ97" s="975" t="s">
        <v>819</v>
      </c>
      <c r="QFR97" s="975" t="s">
        <v>819</v>
      </c>
      <c r="QFS97" s="975" t="s">
        <v>819</v>
      </c>
      <c r="QFT97" s="975" t="s">
        <v>819</v>
      </c>
      <c r="QFU97" s="975" t="s">
        <v>819</v>
      </c>
      <c r="QFV97" s="975" t="s">
        <v>819</v>
      </c>
      <c r="QFW97" s="975" t="s">
        <v>819</v>
      </c>
      <c r="QFX97" s="975" t="s">
        <v>819</v>
      </c>
      <c r="QFY97" s="975" t="s">
        <v>819</v>
      </c>
      <c r="QFZ97" s="975" t="s">
        <v>819</v>
      </c>
      <c r="QGA97" s="975" t="s">
        <v>819</v>
      </c>
      <c r="QGB97" s="975" t="s">
        <v>819</v>
      </c>
      <c r="QGC97" s="975" t="s">
        <v>819</v>
      </c>
      <c r="QGD97" s="975" t="s">
        <v>819</v>
      </c>
      <c r="QGE97" s="975" t="s">
        <v>819</v>
      </c>
      <c r="QGF97" s="975" t="s">
        <v>819</v>
      </c>
      <c r="QGG97" s="975" t="s">
        <v>819</v>
      </c>
      <c r="QGH97" s="975" t="s">
        <v>819</v>
      </c>
      <c r="QGI97" s="975" t="s">
        <v>819</v>
      </c>
      <c r="QGJ97" s="975" t="s">
        <v>819</v>
      </c>
      <c r="QGK97" s="975" t="s">
        <v>819</v>
      </c>
      <c r="QGL97" s="975" t="s">
        <v>819</v>
      </c>
      <c r="QGM97" s="975" t="s">
        <v>819</v>
      </c>
      <c r="QGN97" s="975" t="s">
        <v>819</v>
      </c>
      <c r="QGO97" s="975" t="s">
        <v>819</v>
      </c>
      <c r="QGP97" s="975" t="s">
        <v>819</v>
      </c>
      <c r="QGQ97" s="975" t="s">
        <v>819</v>
      </c>
      <c r="QGR97" s="975" t="s">
        <v>819</v>
      </c>
      <c r="QGS97" s="975" t="s">
        <v>819</v>
      </c>
      <c r="QGT97" s="975" t="s">
        <v>819</v>
      </c>
      <c r="QGU97" s="975" t="s">
        <v>819</v>
      </c>
      <c r="QGV97" s="975" t="s">
        <v>819</v>
      </c>
      <c r="QGW97" s="975" t="s">
        <v>819</v>
      </c>
      <c r="QGX97" s="975" t="s">
        <v>819</v>
      </c>
      <c r="QGY97" s="975" t="s">
        <v>819</v>
      </c>
      <c r="QGZ97" s="975" t="s">
        <v>819</v>
      </c>
      <c r="QHA97" s="975" t="s">
        <v>819</v>
      </c>
      <c r="QHB97" s="975" t="s">
        <v>819</v>
      </c>
      <c r="QHC97" s="975" t="s">
        <v>819</v>
      </c>
      <c r="QHD97" s="975" t="s">
        <v>819</v>
      </c>
      <c r="QHE97" s="975" t="s">
        <v>819</v>
      </c>
      <c r="QHF97" s="975" t="s">
        <v>819</v>
      </c>
      <c r="QHG97" s="975" t="s">
        <v>819</v>
      </c>
      <c r="QHH97" s="975" t="s">
        <v>819</v>
      </c>
      <c r="QHI97" s="975" t="s">
        <v>819</v>
      </c>
      <c r="QHJ97" s="975" t="s">
        <v>819</v>
      </c>
      <c r="QHK97" s="975" t="s">
        <v>819</v>
      </c>
      <c r="QHL97" s="975" t="s">
        <v>819</v>
      </c>
      <c r="QHM97" s="975" t="s">
        <v>819</v>
      </c>
      <c r="QHN97" s="975" t="s">
        <v>819</v>
      </c>
      <c r="QHO97" s="975" t="s">
        <v>819</v>
      </c>
      <c r="QHP97" s="975" t="s">
        <v>819</v>
      </c>
      <c r="QHQ97" s="975" t="s">
        <v>819</v>
      </c>
      <c r="QHR97" s="975" t="s">
        <v>819</v>
      </c>
      <c r="QHS97" s="975" t="s">
        <v>819</v>
      </c>
      <c r="QHT97" s="975" t="s">
        <v>819</v>
      </c>
      <c r="QHU97" s="975" t="s">
        <v>819</v>
      </c>
      <c r="QHV97" s="975" t="s">
        <v>819</v>
      </c>
      <c r="QHW97" s="975" t="s">
        <v>819</v>
      </c>
      <c r="QHX97" s="975" t="s">
        <v>819</v>
      </c>
      <c r="QHY97" s="975" t="s">
        <v>819</v>
      </c>
      <c r="QHZ97" s="975" t="s">
        <v>819</v>
      </c>
      <c r="QIA97" s="975" t="s">
        <v>819</v>
      </c>
      <c r="QIB97" s="975" t="s">
        <v>819</v>
      </c>
      <c r="QIC97" s="975" t="s">
        <v>819</v>
      </c>
      <c r="QID97" s="975" t="s">
        <v>819</v>
      </c>
      <c r="QIE97" s="975" t="s">
        <v>819</v>
      </c>
      <c r="QIF97" s="975" t="s">
        <v>819</v>
      </c>
      <c r="QIG97" s="975" t="s">
        <v>819</v>
      </c>
      <c r="QIH97" s="975" t="s">
        <v>819</v>
      </c>
      <c r="QII97" s="975" t="s">
        <v>819</v>
      </c>
      <c r="QIJ97" s="975" t="s">
        <v>819</v>
      </c>
      <c r="QIK97" s="975" t="s">
        <v>819</v>
      </c>
      <c r="QIL97" s="975" t="s">
        <v>819</v>
      </c>
      <c r="QIM97" s="975" t="s">
        <v>819</v>
      </c>
      <c r="QIN97" s="975" t="s">
        <v>819</v>
      </c>
      <c r="QIO97" s="975" t="s">
        <v>819</v>
      </c>
      <c r="QIP97" s="975" t="s">
        <v>819</v>
      </c>
      <c r="QIQ97" s="975" t="s">
        <v>819</v>
      </c>
      <c r="QIR97" s="975" t="s">
        <v>819</v>
      </c>
      <c r="QIS97" s="975" t="s">
        <v>819</v>
      </c>
      <c r="QIT97" s="975" t="s">
        <v>819</v>
      </c>
      <c r="QIU97" s="975" t="s">
        <v>819</v>
      </c>
      <c r="QIV97" s="975" t="s">
        <v>819</v>
      </c>
      <c r="QIW97" s="975" t="s">
        <v>819</v>
      </c>
      <c r="QIX97" s="975" t="s">
        <v>819</v>
      </c>
      <c r="QIY97" s="975" t="s">
        <v>819</v>
      </c>
      <c r="QIZ97" s="975" t="s">
        <v>819</v>
      </c>
      <c r="QJA97" s="975" t="s">
        <v>819</v>
      </c>
      <c r="QJB97" s="975" t="s">
        <v>819</v>
      </c>
      <c r="QJC97" s="975" t="s">
        <v>819</v>
      </c>
      <c r="QJD97" s="975" t="s">
        <v>819</v>
      </c>
      <c r="QJE97" s="975" t="s">
        <v>819</v>
      </c>
      <c r="QJF97" s="975" t="s">
        <v>819</v>
      </c>
      <c r="QJG97" s="975" t="s">
        <v>819</v>
      </c>
      <c r="QJH97" s="975" t="s">
        <v>819</v>
      </c>
      <c r="QJI97" s="975" t="s">
        <v>819</v>
      </c>
      <c r="QJJ97" s="975" t="s">
        <v>819</v>
      </c>
      <c r="QJK97" s="975" t="s">
        <v>819</v>
      </c>
      <c r="QJL97" s="975" t="s">
        <v>819</v>
      </c>
      <c r="QJM97" s="975" t="s">
        <v>819</v>
      </c>
      <c r="QJN97" s="975" t="s">
        <v>819</v>
      </c>
      <c r="QJO97" s="975" t="s">
        <v>819</v>
      </c>
      <c r="QJP97" s="975" t="s">
        <v>819</v>
      </c>
      <c r="QJQ97" s="975" t="s">
        <v>819</v>
      </c>
      <c r="QJR97" s="975" t="s">
        <v>819</v>
      </c>
      <c r="QJS97" s="975" t="s">
        <v>819</v>
      </c>
      <c r="QJT97" s="975" t="s">
        <v>819</v>
      </c>
      <c r="QJU97" s="975" t="s">
        <v>819</v>
      </c>
      <c r="QJV97" s="975" t="s">
        <v>819</v>
      </c>
      <c r="QJW97" s="975" t="s">
        <v>819</v>
      </c>
      <c r="QJX97" s="975" t="s">
        <v>819</v>
      </c>
      <c r="QJY97" s="975" t="s">
        <v>819</v>
      </c>
      <c r="QJZ97" s="975" t="s">
        <v>819</v>
      </c>
      <c r="QKA97" s="975" t="s">
        <v>819</v>
      </c>
      <c r="QKB97" s="975" t="s">
        <v>819</v>
      </c>
      <c r="QKC97" s="975" t="s">
        <v>819</v>
      </c>
      <c r="QKD97" s="975" t="s">
        <v>819</v>
      </c>
      <c r="QKE97" s="975" t="s">
        <v>819</v>
      </c>
      <c r="QKF97" s="975" t="s">
        <v>819</v>
      </c>
      <c r="QKG97" s="975" t="s">
        <v>819</v>
      </c>
      <c r="QKH97" s="975" t="s">
        <v>819</v>
      </c>
      <c r="QKI97" s="975" t="s">
        <v>819</v>
      </c>
      <c r="QKJ97" s="975" t="s">
        <v>819</v>
      </c>
      <c r="QKK97" s="975" t="s">
        <v>819</v>
      </c>
      <c r="QKL97" s="975" t="s">
        <v>819</v>
      </c>
      <c r="QKM97" s="975" t="s">
        <v>819</v>
      </c>
      <c r="QKN97" s="975" t="s">
        <v>819</v>
      </c>
      <c r="QKO97" s="975" t="s">
        <v>819</v>
      </c>
      <c r="QKP97" s="975" t="s">
        <v>819</v>
      </c>
      <c r="QKQ97" s="975" t="s">
        <v>819</v>
      </c>
      <c r="QKR97" s="975" t="s">
        <v>819</v>
      </c>
      <c r="QKS97" s="975" t="s">
        <v>819</v>
      </c>
      <c r="QKT97" s="975" t="s">
        <v>819</v>
      </c>
      <c r="QKU97" s="975" t="s">
        <v>819</v>
      </c>
      <c r="QKV97" s="975" t="s">
        <v>819</v>
      </c>
      <c r="QKW97" s="975" t="s">
        <v>819</v>
      </c>
      <c r="QKX97" s="975" t="s">
        <v>819</v>
      </c>
      <c r="QKY97" s="975" t="s">
        <v>819</v>
      </c>
      <c r="QKZ97" s="975" t="s">
        <v>819</v>
      </c>
      <c r="QLA97" s="975" t="s">
        <v>819</v>
      </c>
      <c r="QLB97" s="975" t="s">
        <v>819</v>
      </c>
      <c r="QLC97" s="975" t="s">
        <v>819</v>
      </c>
      <c r="QLD97" s="975" t="s">
        <v>819</v>
      </c>
      <c r="QLE97" s="975" t="s">
        <v>819</v>
      </c>
      <c r="QLF97" s="975" t="s">
        <v>819</v>
      </c>
      <c r="QLG97" s="975" t="s">
        <v>819</v>
      </c>
      <c r="QLH97" s="975" t="s">
        <v>819</v>
      </c>
      <c r="QLI97" s="975" t="s">
        <v>819</v>
      </c>
      <c r="QLJ97" s="975" t="s">
        <v>819</v>
      </c>
      <c r="QLK97" s="975" t="s">
        <v>819</v>
      </c>
      <c r="QLL97" s="975" t="s">
        <v>819</v>
      </c>
      <c r="QLM97" s="975" t="s">
        <v>819</v>
      </c>
      <c r="QLN97" s="975" t="s">
        <v>819</v>
      </c>
      <c r="QLO97" s="975" t="s">
        <v>819</v>
      </c>
      <c r="QLP97" s="975" t="s">
        <v>819</v>
      </c>
      <c r="QLQ97" s="975" t="s">
        <v>819</v>
      </c>
      <c r="QLR97" s="975" t="s">
        <v>819</v>
      </c>
      <c r="QLS97" s="975" t="s">
        <v>819</v>
      </c>
      <c r="QLT97" s="975" t="s">
        <v>819</v>
      </c>
      <c r="QLU97" s="975" t="s">
        <v>819</v>
      </c>
      <c r="QLV97" s="975" t="s">
        <v>819</v>
      </c>
      <c r="QLW97" s="975" t="s">
        <v>819</v>
      </c>
      <c r="QLX97" s="975" t="s">
        <v>819</v>
      </c>
      <c r="QLY97" s="975" t="s">
        <v>819</v>
      </c>
      <c r="QLZ97" s="975" t="s">
        <v>819</v>
      </c>
      <c r="QMA97" s="975" t="s">
        <v>819</v>
      </c>
      <c r="QMB97" s="975" t="s">
        <v>819</v>
      </c>
      <c r="QMC97" s="975" t="s">
        <v>819</v>
      </c>
      <c r="QMD97" s="975" t="s">
        <v>819</v>
      </c>
      <c r="QME97" s="975" t="s">
        <v>819</v>
      </c>
      <c r="QMF97" s="975" t="s">
        <v>819</v>
      </c>
      <c r="QMG97" s="975" t="s">
        <v>819</v>
      </c>
      <c r="QMH97" s="975" t="s">
        <v>819</v>
      </c>
      <c r="QMI97" s="975" t="s">
        <v>819</v>
      </c>
      <c r="QMJ97" s="975" t="s">
        <v>819</v>
      </c>
      <c r="QMK97" s="975" t="s">
        <v>819</v>
      </c>
      <c r="QML97" s="975" t="s">
        <v>819</v>
      </c>
      <c r="QMM97" s="975" t="s">
        <v>819</v>
      </c>
      <c r="QMN97" s="975" t="s">
        <v>819</v>
      </c>
      <c r="QMO97" s="975" t="s">
        <v>819</v>
      </c>
      <c r="QMP97" s="975" t="s">
        <v>819</v>
      </c>
      <c r="QMQ97" s="975" t="s">
        <v>819</v>
      </c>
      <c r="QMR97" s="975" t="s">
        <v>819</v>
      </c>
      <c r="QMS97" s="975" t="s">
        <v>819</v>
      </c>
      <c r="QMT97" s="975" t="s">
        <v>819</v>
      </c>
      <c r="QMU97" s="975" t="s">
        <v>819</v>
      </c>
      <c r="QMV97" s="975" t="s">
        <v>819</v>
      </c>
      <c r="QMW97" s="975" t="s">
        <v>819</v>
      </c>
      <c r="QMX97" s="975" t="s">
        <v>819</v>
      </c>
      <c r="QMY97" s="975" t="s">
        <v>819</v>
      </c>
      <c r="QMZ97" s="975" t="s">
        <v>819</v>
      </c>
      <c r="QNA97" s="975" t="s">
        <v>819</v>
      </c>
      <c r="QNB97" s="975" t="s">
        <v>819</v>
      </c>
      <c r="QNC97" s="975" t="s">
        <v>819</v>
      </c>
      <c r="QND97" s="975" t="s">
        <v>819</v>
      </c>
      <c r="QNE97" s="975" t="s">
        <v>819</v>
      </c>
      <c r="QNF97" s="975" t="s">
        <v>819</v>
      </c>
      <c r="QNG97" s="975" t="s">
        <v>819</v>
      </c>
      <c r="QNH97" s="975" t="s">
        <v>819</v>
      </c>
      <c r="QNI97" s="975" t="s">
        <v>819</v>
      </c>
      <c r="QNJ97" s="975" t="s">
        <v>819</v>
      </c>
      <c r="QNK97" s="975" t="s">
        <v>819</v>
      </c>
      <c r="QNL97" s="975" t="s">
        <v>819</v>
      </c>
      <c r="QNM97" s="975" t="s">
        <v>819</v>
      </c>
      <c r="QNN97" s="975" t="s">
        <v>819</v>
      </c>
      <c r="QNO97" s="975" t="s">
        <v>819</v>
      </c>
      <c r="QNP97" s="975" t="s">
        <v>819</v>
      </c>
      <c r="QNQ97" s="975" t="s">
        <v>819</v>
      </c>
      <c r="QNR97" s="975" t="s">
        <v>819</v>
      </c>
      <c r="QNS97" s="975" t="s">
        <v>819</v>
      </c>
      <c r="QNT97" s="975" t="s">
        <v>819</v>
      </c>
      <c r="QNU97" s="975" t="s">
        <v>819</v>
      </c>
      <c r="QNV97" s="975" t="s">
        <v>819</v>
      </c>
      <c r="QNW97" s="975" t="s">
        <v>819</v>
      </c>
      <c r="QNX97" s="975" t="s">
        <v>819</v>
      </c>
      <c r="QNY97" s="975" t="s">
        <v>819</v>
      </c>
      <c r="QNZ97" s="975" t="s">
        <v>819</v>
      </c>
      <c r="QOA97" s="975" t="s">
        <v>819</v>
      </c>
      <c r="QOB97" s="975" t="s">
        <v>819</v>
      </c>
      <c r="QOC97" s="975" t="s">
        <v>819</v>
      </c>
      <c r="QOD97" s="975" t="s">
        <v>819</v>
      </c>
      <c r="QOE97" s="975" t="s">
        <v>819</v>
      </c>
      <c r="QOF97" s="975" t="s">
        <v>819</v>
      </c>
      <c r="QOG97" s="975" t="s">
        <v>819</v>
      </c>
      <c r="QOH97" s="975" t="s">
        <v>819</v>
      </c>
      <c r="QOI97" s="975" t="s">
        <v>819</v>
      </c>
      <c r="QOJ97" s="975" t="s">
        <v>819</v>
      </c>
      <c r="QOK97" s="975" t="s">
        <v>819</v>
      </c>
      <c r="QOL97" s="975" t="s">
        <v>819</v>
      </c>
      <c r="QOM97" s="975" t="s">
        <v>819</v>
      </c>
      <c r="QON97" s="975" t="s">
        <v>819</v>
      </c>
      <c r="QOO97" s="975" t="s">
        <v>819</v>
      </c>
      <c r="QOP97" s="975" t="s">
        <v>819</v>
      </c>
      <c r="QOQ97" s="975" t="s">
        <v>819</v>
      </c>
      <c r="QOR97" s="975" t="s">
        <v>819</v>
      </c>
      <c r="QOS97" s="975" t="s">
        <v>819</v>
      </c>
      <c r="QOT97" s="975" t="s">
        <v>819</v>
      </c>
      <c r="QOU97" s="975" t="s">
        <v>819</v>
      </c>
      <c r="QOV97" s="975" t="s">
        <v>819</v>
      </c>
      <c r="QOW97" s="975" t="s">
        <v>819</v>
      </c>
      <c r="QOX97" s="975" t="s">
        <v>819</v>
      </c>
      <c r="QOY97" s="975" t="s">
        <v>819</v>
      </c>
      <c r="QOZ97" s="975" t="s">
        <v>819</v>
      </c>
      <c r="QPA97" s="975" t="s">
        <v>819</v>
      </c>
      <c r="QPB97" s="975" t="s">
        <v>819</v>
      </c>
      <c r="QPC97" s="975" t="s">
        <v>819</v>
      </c>
      <c r="QPD97" s="975" t="s">
        <v>819</v>
      </c>
      <c r="QPE97" s="975" t="s">
        <v>819</v>
      </c>
      <c r="QPF97" s="975" t="s">
        <v>819</v>
      </c>
      <c r="QPG97" s="975" t="s">
        <v>819</v>
      </c>
      <c r="QPH97" s="975" t="s">
        <v>819</v>
      </c>
      <c r="QPI97" s="975" t="s">
        <v>819</v>
      </c>
      <c r="QPJ97" s="975" t="s">
        <v>819</v>
      </c>
      <c r="QPK97" s="975" t="s">
        <v>819</v>
      </c>
      <c r="QPL97" s="975" t="s">
        <v>819</v>
      </c>
      <c r="QPM97" s="975" t="s">
        <v>819</v>
      </c>
      <c r="QPN97" s="975" t="s">
        <v>819</v>
      </c>
      <c r="QPO97" s="975" t="s">
        <v>819</v>
      </c>
      <c r="QPP97" s="975" t="s">
        <v>819</v>
      </c>
      <c r="QPQ97" s="975" t="s">
        <v>819</v>
      </c>
      <c r="QPR97" s="975" t="s">
        <v>819</v>
      </c>
      <c r="QPS97" s="975" t="s">
        <v>819</v>
      </c>
      <c r="QPT97" s="975" t="s">
        <v>819</v>
      </c>
      <c r="QPU97" s="975" t="s">
        <v>819</v>
      </c>
      <c r="QPV97" s="975" t="s">
        <v>819</v>
      </c>
      <c r="QPW97" s="975" t="s">
        <v>819</v>
      </c>
      <c r="QPX97" s="975" t="s">
        <v>819</v>
      </c>
      <c r="QPY97" s="975" t="s">
        <v>819</v>
      </c>
      <c r="QPZ97" s="975" t="s">
        <v>819</v>
      </c>
      <c r="QQA97" s="975" t="s">
        <v>819</v>
      </c>
      <c r="QQB97" s="975" t="s">
        <v>819</v>
      </c>
      <c r="QQC97" s="975" t="s">
        <v>819</v>
      </c>
      <c r="QQD97" s="975" t="s">
        <v>819</v>
      </c>
      <c r="QQE97" s="975" t="s">
        <v>819</v>
      </c>
      <c r="QQF97" s="975" t="s">
        <v>819</v>
      </c>
      <c r="QQG97" s="975" t="s">
        <v>819</v>
      </c>
      <c r="QQH97" s="975" t="s">
        <v>819</v>
      </c>
      <c r="QQI97" s="975" t="s">
        <v>819</v>
      </c>
      <c r="QQJ97" s="975" t="s">
        <v>819</v>
      </c>
      <c r="QQK97" s="975" t="s">
        <v>819</v>
      </c>
      <c r="QQL97" s="975" t="s">
        <v>819</v>
      </c>
      <c r="QQM97" s="975" t="s">
        <v>819</v>
      </c>
      <c r="QQN97" s="975" t="s">
        <v>819</v>
      </c>
      <c r="QQO97" s="975" t="s">
        <v>819</v>
      </c>
      <c r="QQP97" s="975" t="s">
        <v>819</v>
      </c>
      <c r="QQQ97" s="975" t="s">
        <v>819</v>
      </c>
      <c r="QQR97" s="975" t="s">
        <v>819</v>
      </c>
      <c r="QQS97" s="975" t="s">
        <v>819</v>
      </c>
      <c r="QQT97" s="975" t="s">
        <v>819</v>
      </c>
      <c r="QQU97" s="975" t="s">
        <v>819</v>
      </c>
      <c r="QQV97" s="975" t="s">
        <v>819</v>
      </c>
      <c r="QQW97" s="975" t="s">
        <v>819</v>
      </c>
      <c r="QQX97" s="975" t="s">
        <v>819</v>
      </c>
      <c r="QQY97" s="975" t="s">
        <v>819</v>
      </c>
      <c r="QQZ97" s="975" t="s">
        <v>819</v>
      </c>
      <c r="QRA97" s="975" t="s">
        <v>819</v>
      </c>
      <c r="QRB97" s="975" t="s">
        <v>819</v>
      </c>
      <c r="QRC97" s="975" t="s">
        <v>819</v>
      </c>
      <c r="QRD97" s="975" t="s">
        <v>819</v>
      </c>
      <c r="QRE97" s="975" t="s">
        <v>819</v>
      </c>
      <c r="QRF97" s="975" t="s">
        <v>819</v>
      </c>
      <c r="QRG97" s="975" t="s">
        <v>819</v>
      </c>
      <c r="QRH97" s="975" t="s">
        <v>819</v>
      </c>
      <c r="QRI97" s="975" t="s">
        <v>819</v>
      </c>
      <c r="QRJ97" s="975" t="s">
        <v>819</v>
      </c>
      <c r="QRK97" s="975" t="s">
        <v>819</v>
      </c>
      <c r="QRL97" s="975" t="s">
        <v>819</v>
      </c>
      <c r="QRM97" s="975" t="s">
        <v>819</v>
      </c>
      <c r="QRN97" s="975" t="s">
        <v>819</v>
      </c>
      <c r="QRO97" s="975" t="s">
        <v>819</v>
      </c>
      <c r="QRP97" s="975" t="s">
        <v>819</v>
      </c>
      <c r="QRQ97" s="975" t="s">
        <v>819</v>
      </c>
      <c r="QRR97" s="975" t="s">
        <v>819</v>
      </c>
      <c r="QRS97" s="975" t="s">
        <v>819</v>
      </c>
      <c r="QRT97" s="975" t="s">
        <v>819</v>
      </c>
      <c r="QRU97" s="975" t="s">
        <v>819</v>
      </c>
      <c r="QRV97" s="975" t="s">
        <v>819</v>
      </c>
      <c r="QRW97" s="975" t="s">
        <v>819</v>
      </c>
      <c r="QRX97" s="975" t="s">
        <v>819</v>
      </c>
      <c r="QRY97" s="975" t="s">
        <v>819</v>
      </c>
      <c r="QRZ97" s="975" t="s">
        <v>819</v>
      </c>
      <c r="QSA97" s="975" t="s">
        <v>819</v>
      </c>
      <c r="QSB97" s="975" t="s">
        <v>819</v>
      </c>
      <c r="QSC97" s="975" t="s">
        <v>819</v>
      </c>
      <c r="QSD97" s="975" t="s">
        <v>819</v>
      </c>
      <c r="QSE97" s="975" t="s">
        <v>819</v>
      </c>
      <c r="QSF97" s="975" t="s">
        <v>819</v>
      </c>
      <c r="QSG97" s="975" t="s">
        <v>819</v>
      </c>
      <c r="QSH97" s="975" t="s">
        <v>819</v>
      </c>
      <c r="QSI97" s="975" t="s">
        <v>819</v>
      </c>
      <c r="QSJ97" s="975" t="s">
        <v>819</v>
      </c>
      <c r="QSK97" s="975" t="s">
        <v>819</v>
      </c>
      <c r="QSL97" s="975" t="s">
        <v>819</v>
      </c>
      <c r="QSM97" s="975" t="s">
        <v>819</v>
      </c>
      <c r="QSN97" s="975" t="s">
        <v>819</v>
      </c>
      <c r="QSO97" s="975" t="s">
        <v>819</v>
      </c>
      <c r="QSP97" s="975" t="s">
        <v>819</v>
      </c>
      <c r="QSQ97" s="975" t="s">
        <v>819</v>
      </c>
      <c r="QSR97" s="975" t="s">
        <v>819</v>
      </c>
      <c r="QSS97" s="975" t="s">
        <v>819</v>
      </c>
      <c r="QST97" s="975" t="s">
        <v>819</v>
      </c>
      <c r="QSU97" s="975" t="s">
        <v>819</v>
      </c>
      <c r="QSV97" s="975" t="s">
        <v>819</v>
      </c>
      <c r="QSW97" s="975" t="s">
        <v>819</v>
      </c>
      <c r="QSX97" s="975" t="s">
        <v>819</v>
      </c>
      <c r="QSY97" s="975" t="s">
        <v>819</v>
      </c>
      <c r="QSZ97" s="975" t="s">
        <v>819</v>
      </c>
      <c r="QTA97" s="975" t="s">
        <v>819</v>
      </c>
      <c r="QTB97" s="975" t="s">
        <v>819</v>
      </c>
      <c r="QTC97" s="975" t="s">
        <v>819</v>
      </c>
      <c r="QTD97" s="975" t="s">
        <v>819</v>
      </c>
      <c r="QTE97" s="975" t="s">
        <v>819</v>
      </c>
      <c r="QTF97" s="975" t="s">
        <v>819</v>
      </c>
      <c r="QTG97" s="975" t="s">
        <v>819</v>
      </c>
      <c r="QTH97" s="975" t="s">
        <v>819</v>
      </c>
      <c r="QTI97" s="975" t="s">
        <v>819</v>
      </c>
      <c r="QTJ97" s="975" t="s">
        <v>819</v>
      </c>
      <c r="QTK97" s="975" t="s">
        <v>819</v>
      </c>
      <c r="QTL97" s="975" t="s">
        <v>819</v>
      </c>
      <c r="QTM97" s="975" t="s">
        <v>819</v>
      </c>
      <c r="QTN97" s="975" t="s">
        <v>819</v>
      </c>
      <c r="QTO97" s="975" t="s">
        <v>819</v>
      </c>
      <c r="QTP97" s="975" t="s">
        <v>819</v>
      </c>
      <c r="QTQ97" s="975" t="s">
        <v>819</v>
      </c>
      <c r="QTR97" s="975" t="s">
        <v>819</v>
      </c>
      <c r="QTS97" s="975" t="s">
        <v>819</v>
      </c>
      <c r="QTT97" s="975" t="s">
        <v>819</v>
      </c>
      <c r="QTU97" s="975" t="s">
        <v>819</v>
      </c>
      <c r="QTV97" s="975" t="s">
        <v>819</v>
      </c>
      <c r="QTW97" s="975" t="s">
        <v>819</v>
      </c>
      <c r="QTX97" s="975" t="s">
        <v>819</v>
      </c>
      <c r="QTY97" s="975" t="s">
        <v>819</v>
      </c>
      <c r="QTZ97" s="975" t="s">
        <v>819</v>
      </c>
      <c r="QUA97" s="975" t="s">
        <v>819</v>
      </c>
      <c r="QUB97" s="975" t="s">
        <v>819</v>
      </c>
      <c r="QUC97" s="975" t="s">
        <v>819</v>
      </c>
      <c r="QUD97" s="975" t="s">
        <v>819</v>
      </c>
      <c r="QUE97" s="975" t="s">
        <v>819</v>
      </c>
      <c r="QUF97" s="975" t="s">
        <v>819</v>
      </c>
      <c r="QUG97" s="975" t="s">
        <v>819</v>
      </c>
      <c r="QUH97" s="975" t="s">
        <v>819</v>
      </c>
      <c r="QUI97" s="975" t="s">
        <v>819</v>
      </c>
      <c r="QUJ97" s="975" t="s">
        <v>819</v>
      </c>
      <c r="QUK97" s="975" t="s">
        <v>819</v>
      </c>
      <c r="QUL97" s="975" t="s">
        <v>819</v>
      </c>
      <c r="QUM97" s="975" t="s">
        <v>819</v>
      </c>
      <c r="QUN97" s="975" t="s">
        <v>819</v>
      </c>
      <c r="QUO97" s="975" t="s">
        <v>819</v>
      </c>
      <c r="QUP97" s="975" t="s">
        <v>819</v>
      </c>
      <c r="QUQ97" s="975" t="s">
        <v>819</v>
      </c>
      <c r="QUR97" s="975" t="s">
        <v>819</v>
      </c>
      <c r="QUS97" s="975" t="s">
        <v>819</v>
      </c>
      <c r="QUT97" s="975" t="s">
        <v>819</v>
      </c>
      <c r="QUU97" s="975" t="s">
        <v>819</v>
      </c>
      <c r="QUV97" s="975" t="s">
        <v>819</v>
      </c>
      <c r="QUW97" s="975" t="s">
        <v>819</v>
      </c>
      <c r="QUX97" s="975" t="s">
        <v>819</v>
      </c>
      <c r="QUY97" s="975" t="s">
        <v>819</v>
      </c>
      <c r="QUZ97" s="975" t="s">
        <v>819</v>
      </c>
      <c r="QVA97" s="975" t="s">
        <v>819</v>
      </c>
      <c r="QVB97" s="975" t="s">
        <v>819</v>
      </c>
      <c r="QVC97" s="975" t="s">
        <v>819</v>
      </c>
      <c r="QVD97" s="975" t="s">
        <v>819</v>
      </c>
      <c r="QVE97" s="975" t="s">
        <v>819</v>
      </c>
      <c r="QVF97" s="975" t="s">
        <v>819</v>
      </c>
      <c r="QVG97" s="975" t="s">
        <v>819</v>
      </c>
      <c r="QVH97" s="975" t="s">
        <v>819</v>
      </c>
      <c r="QVI97" s="975" t="s">
        <v>819</v>
      </c>
      <c r="QVJ97" s="975" t="s">
        <v>819</v>
      </c>
      <c r="QVK97" s="975" t="s">
        <v>819</v>
      </c>
      <c r="QVL97" s="975" t="s">
        <v>819</v>
      </c>
      <c r="QVM97" s="975" t="s">
        <v>819</v>
      </c>
      <c r="QVN97" s="975" t="s">
        <v>819</v>
      </c>
      <c r="QVO97" s="975" t="s">
        <v>819</v>
      </c>
      <c r="QVP97" s="975" t="s">
        <v>819</v>
      </c>
      <c r="QVQ97" s="975" t="s">
        <v>819</v>
      </c>
      <c r="QVR97" s="975" t="s">
        <v>819</v>
      </c>
      <c r="QVS97" s="975" t="s">
        <v>819</v>
      </c>
      <c r="QVT97" s="975" t="s">
        <v>819</v>
      </c>
      <c r="QVU97" s="975" t="s">
        <v>819</v>
      </c>
      <c r="QVV97" s="975" t="s">
        <v>819</v>
      </c>
      <c r="QVW97" s="975" t="s">
        <v>819</v>
      </c>
      <c r="QVX97" s="975" t="s">
        <v>819</v>
      </c>
      <c r="QVY97" s="975" t="s">
        <v>819</v>
      </c>
      <c r="QVZ97" s="975" t="s">
        <v>819</v>
      </c>
      <c r="QWA97" s="975" t="s">
        <v>819</v>
      </c>
      <c r="QWB97" s="975" t="s">
        <v>819</v>
      </c>
      <c r="QWC97" s="975" t="s">
        <v>819</v>
      </c>
      <c r="QWD97" s="975" t="s">
        <v>819</v>
      </c>
      <c r="QWE97" s="975" t="s">
        <v>819</v>
      </c>
      <c r="QWF97" s="975" t="s">
        <v>819</v>
      </c>
      <c r="QWG97" s="975" t="s">
        <v>819</v>
      </c>
      <c r="QWH97" s="975" t="s">
        <v>819</v>
      </c>
      <c r="QWI97" s="975" t="s">
        <v>819</v>
      </c>
      <c r="QWJ97" s="975" t="s">
        <v>819</v>
      </c>
      <c r="QWK97" s="975" t="s">
        <v>819</v>
      </c>
      <c r="QWL97" s="975" t="s">
        <v>819</v>
      </c>
      <c r="QWM97" s="975" t="s">
        <v>819</v>
      </c>
      <c r="QWN97" s="975" t="s">
        <v>819</v>
      </c>
      <c r="QWO97" s="975" t="s">
        <v>819</v>
      </c>
      <c r="QWP97" s="975" t="s">
        <v>819</v>
      </c>
      <c r="QWQ97" s="975" t="s">
        <v>819</v>
      </c>
      <c r="QWR97" s="975" t="s">
        <v>819</v>
      </c>
      <c r="QWS97" s="975" t="s">
        <v>819</v>
      </c>
      <c r="QWT97" s="975" t="s">
        <v>819</v>
      </c>
      <c r="QWU97" s="975" t="s">
        <v>819</v>
      </c>
      <c r="QWV97" s="975" t="s">
        <v>819</v>
      </c>
      <c r="QWW97" s="975" t="s">
        <v>819</v>
      </c>
      <c r="QWX97" s="975" t="s">
        <v>819</v>
      </c>
      <c r="QWY97" s="975" t="s">
        <v>819</v>
      </c>
      <c r="QWZ97" s="975" t="s">
        <v>819</v>
      </c>
      <c r="QXA97" s="975" t="s">
        <v>819</v>
      </c>
      <c r="QXB97" s="975" t="s">
        <v>819</v>
      </c>
      <c r="QXC97" s="975" t="s">
        <v>819</v>
      </c>
      <c r="QXD97" s="975" t="s">
        <v>819</v>
      </c>
      <c r="QXE97" s="975" t="s">
        <v>819</v>
      </c>
      <c r="QXF97" s="975" t="s">
        <v>819</v>
      </c>
      <c r="QXG97" s="975" t="s">
        <v>819</v>
      </c>
      <c r="QXH97" s="975" t="s">
        <v>819</v>
      </c>
      <c r="QXI97" s="975" t="s">
        <v>819</v>
      </c>
      <c r="QXJ97" s="975" t="s">
        <v>819</v>
      </c>
      <c r="QXK97" s="975" t="s">
        <v>819</v>
      </c>
      <c r="QXL97" s="975" t="s">
        <v>819</v>
      </c>
      <c r="QXM97" s="975" t="s">
        <v>819</v>
      </c>
      <c r="QXN97" s="975" t="s">
        <v>819</v>
      </c>
      <c r="QXO97" s="975" t="s">
        <v>819</v>
      </c>
      <c r="QXP97" s="975" t="s">
        <v>819</v>
      </c>
      <c r="QXQ97" s="975" t="s">
        <v>819</v>
      </c>
      <c r="QXR97" s="975" t="s">
        <v>819</v>
      </c>
      <c r="QXS97" s="975" t="s">
        <v>819</v>
      </c>
      <c r="QXT97" s="975" t="s">
        <v>819</v>
      </c>
      <c r="QXU97" s="975" t="s">
        <v>819</v>
      </c>
      <c r="QXV97" s="975" t="s">
        <v>819</v>
      </c>
      <c r="QXW97" s="975" t="s">
        <v>819</v>
      </c>
      <c r="QXX97" s="975" t="s">
        <v>819</v>
      </c>
      <c r="QXY97" s="975" t="s">
        <v>819</v>
      </c>
      <c r="QXZ97" s="975" t="s">
        <v>819</v>
      </c>
      <c r="QYA97" s="975" t="s">
        <v>819</v>
      </c>
      <c r="QYB97" s="975" t="s">
        <v>819</v>
      </c>
      <c r="QYC97" s="975" t="s">
        <v>819</v>
      </c>
      <c r="QYD97" s="975" t="s">
        <v>819</v>
      </c>
      <c r="QYE97" s="975" t="s">
        <v>819</v>
      </c>
      <c r="QYF97" s="975" t="s">
        <v>819</v>
      </c>
      <c r="QYG97" s="975" t="s">
        <v>819</v>
      </c>
      <c r="QYH97" s="975" t="s">
        <v>819</v>
      </c>
      <c r="QYI97" s="975" t="s">
        <v>819</v>
      </c>
      <c r="QYJ97" s="975" t="s">
        <v>819</v>
      </c>
      <c r="QYK97" s="975" t="s">
        <v>819</v>
      </c>
      <c r="QYL97" s="975" t="s">
        <v>819</v>
      </c>
      <c r="QYM97" s="975" t="s">
        <v>819</v>
      </c>
      <c r="QYN97" s="975" t="s">
        <v>819</v>
      </c>
      <c r="QYO97" s="975" t="s">
        <v>819</v>
      </c>
      <c r="QYP97" s="975" t="s">
        <v>819</v>
      </c>
      <c r="QYQ97" s="975" t="s">
        <v>819</v>
      </c>
      <c r="QYR97" s="975" t="s">
        <v>819</v>
      </c>
      <c r="QYS97" s="975" t="s">
        <v>819</v>
      </c>
      <c r="QYT97" s="975" t="s">
        <v>819</v>
      </c>
      <c r="QYU97" s="975" t="s">
        <v>819</v>
      </c>
      <c r="QYV97" s="975" t="s">
        <v>819</v>
      </c>
      <c r="QYW97" s="975" t="s">
        <v>819</v>
      </c>
      <c r="QYX97" s="975" t="s">
        <v>819</v>
      </c>
      <c r="QYY97" s="975" t="s">
        <v>819</v>
      </c>
      <c r="QYZ97" s="975" t="s">
        <v>819</v>
      </c>
      <c r="QZA97" s="975" t="s">
        <v>819</v>
      </c>
      <c r="QZB97" s="975" t="s">
        <v>819</v>
      </c>
      <c r="QZC97" s="975" t="s">
        <v>819</v>
      </c>
      <c r="QZD97" s="975" t="s">
        <v>819</v>
      </c>
      <c r="QZE97" s="975" t="s">
        <v>819</v>
      </c>
      <c r="QZF97" s="975" t="s">
        <v>819</v>
      </c>
      <c r="QZG97" s="975" t="s">
        <v>819</v>
      </c>
      <c r="QZH97" s="975" t="s">
        <v>819</v>
      </c>
      <c r="QZI97" s="975" t="s">
        <v>819</v>
      </c>
      <c r="QZJ97" s="975" t="s">
        <v>819</v>
      </c>
      <c r="QZK97" s="975" t="s">
        <v>819</v>
      </c>
      <c r="QZL97" s="975" t="s">
        <v>819</v>
      </c>
      <c r="QZM97" s="975" t="s">
        <v>819</v>
      </c>
      <c r="QZN97" s="975" t="s">
        <v>819</v>
      </c>
      <c r="QZO97" s="975" t="s">
        <v>819</v>
      </c>
      <c r="QZP97" s="975" t="s">
        <v>819</v>
      </c>
      <c r="QZQ97" s="975" t="s">
        <v>819</v>
      </c>
      <c r="QZR97" s="975" t="s">
        <v>819</v>
      </c>
      <c r="QZS97" s="975" t="s">
        <v>819</v>
      </c>
      <c r="QZT97" s="975" t="s">
        <v>819</v>
      </c>
      <c r="QZU97" s="975" t="s">
        <v>819</v>
      </c>
      <c r="QZV97" s="975" t="s">
        <v>819</v>
      </c>
      <c r="QZW97" s="975" t="s">
        <v>819</v>
      </c>
      <c r="QZX97" s="975" t="s">
        <v>819</v>
      </c>
      <c r="QZY97" s="975" t="s">
        <v>819</v>
      </c>
      <c r="QZZ97" s="975" t="s">
        <v>819</v>
      </c>
      <c r="RAA97" s="975" t="s">
        <v>819</v>
      </c>
      <c r="RAB97" s="975" t="s">
        <v>819</v>
      </c>
      <c r="RAC97" s="975" t="s">
        <v>819</v>
      </c>
      <c r="RAD97" s="975" t="s">
        <v>819</v>
      </c>
      <c r="RAE97" s="975" t="s">
        <v>819</v>
      </c>
      <c r="RAF97" s="975" t="s">
        <v>819</v>
      </c>
      <c r="RAG97" s="975" t="s">
        <v>819</v>
      </c>
      <c r="RAH97" s="975" t="s">
        <v>819</v>
      </c>
      <c r="RAI97" s="975" t="s">
        <v>819</v>
      </c>
      <c r="RAJ97" s="975" t="s">
        <v>819</v>
      </c>
      <c r="RAK97" s="975" t="s">
        <v>819</v>
      </c>
      <c r="RAL97" s="975" t="s">
        <v>819</v>
      </c>
      <c r="RAM97" s="975" t="s">
        <v>819</v>
      </c>
      <c r="RAN97" s="975" t="s">
        <v>819</v>
      </c>
      <c r="RAO97" s="975" t="s">
        <v>819</v>
      </c>
      <c r="RAP97" s="975" t="s">
        <v>819</v>
      </c>
      <c r="RAQ97" s="975" t="s">
        <v>819</v>
      </c>
      <c r="RAR97" s="975" t="s">
        <v>819</v>
      </c>
      <c r="RAS97" s="975" t="s">
        <v>819</v>
      </c>
      <c r="RAT97" s="975" t="s">
        <v>819</v>
      </c>
      <c r="RAU97" s="975" t="s">
        <v>819</v>
      </c>
      <c r="RAV97" s="975" t="s">
        <v>819</v>
      </c>
      <c r="RAW97" s="975" t="s">
        <v>819</v>
      </c>
      <c r="RAX97" s="975" t="s">
        <v>819</v>
      </c>
      <c r="RAY97" s="975" t="s">
        <v>819</v>
      </c>
      <c r="RAZ97" s="975" t="s">
        <v>819</v>
      </c>
      <c r="RBA97" s="975" t="s">
        <v>819</v>
      </c>
      <c r="RBB97" s="975" t="s">
        <v>819</v>
      </c>
      <c r="RBC97" s="975" t="s">
        <v>819</v>
      </c>
      <c r="RBD97" s="975" t="s">
        <v>819</v>
      </c>
      <c r="RBE97" s="975" t="s">
        <v>819</v>
      </c>
      <c r="RBF97" s="975" t="s">
        <v>819</v>
      </c>
      <c r="RBG97" s="975" t="s">
        <v>819</v>
      </c>
      <c r="RBH97" s="975" t="s">
        <v>819</v>
      </c>
      <c r="RBI97" s="975" t="s">
        <v>819</v>
      </c>
      <c r="RBJ97" s="975" t="s">
        <v>819</v>
      </c>
      <c r="RBK97" s="975" t="s">
        <v>819</v>
      </c>
      <c r="RBL97" s="975" t="s">
        <v>819</v>
      </c>
      <c r="RBM97" s="975" t="s">
        <v>819</v>
      </c>
      <c r="RBN97" s="975" t="s">
        <v>819</v>
      </c>
      <c r="RBO97" s="975" t="s">
        <v>819</v>
      </c>
      <c r="RBP97" s="975" t="s">
        <v>819</v>
      </c>
      <c r="RBQ97" s="975" t="s">
        <v>819</v>
      </c>
      <c r="RBR97" s="975" t="s">
        <v>819</v>
      </c>
      <c r="RBS97" s="975" t="s">
        <v>819</v>
      </c>
      <c r="RBT97" s="975" t="s">
        <v>819</v>
      </c>
      <c r="RBU97" s="975" t="s">
        <v>819</v>
      </c>
      <c r="RBV97" s="975" t="s">
        <v>819</v>
      </c>
      <c r="RBW97" s="975" t="s">
        <v>819</v>
      </c>
      <c r="RBX97" s="975" t="s">
        <v>819</v>
      </c>
      <c r="RBY97" s="975" t="s">
        <v>819</v>
      </c>
      <c r="RBZ97" s="975" t="s">
        <v>819</v>
      </c>
      <c r="RCA97" s="975" t="s">
        <v>819</v>
      </c>
      <c r="RCB97" s="975" t="s">
        <v>819</v>
      </c>
      <c r="RCC97" s="975" t="s">
        <v>819</v>
      </c>
      <c r="RCD97" s="975" t="s">
        <v>819</v>
      </c>
      <c r="RCE97" s="975" t="s">
        <v>819</v>
      </c>
      <c r="RCF97" s="975" t="s">
        <v>819</v>
      </c>
      <c r="RCG97" s="975" t="s">
        <v>819</v>
      </c>
      <c r="RCH97" s="975" t="s">
        <v>819</v>
      </c>
      <c r="RCI97" s="975" t="s">
        <v>819</v>
      </c>
      <c r="RCJ97" s="975" t="s">
        <v>819</v>
      </c>
      <c r="RCK97" s="975" t="s">
        <v>819</v>
      </c>
      <c r="RCL97" s="975" t="s">
        <v>819</v>
      </c>
      <c r="RCM97" s="975" t="s">
        <v>819</v>
      </c>
      <c r="RCN97" s="975" t="s">
        <v>819</v>
      </c>
      <c r="RCO97" s="975" t="s">
        <v>819</v>
      </c>
      <c r="RCP97" s="975" t="s">
        <v>819</v>
      </c>
      <c r="RCQ97" s="975" t="s">
        <v>819</v>
      </c>
      <c r="RCR97" s="975" t="s">
        <v>819</v>
      </c>
      <c r="RCS97" s="975" t="s">
        <v>819</v>
      </c>
      <c r="RCT97" s="975" t="s">
        <v>819</v>
      </c>
      <c r="RCU97" s="975" t="s">
        <v>819</v>
      </c>
      <c r="RCV97" s="975" t="s">
        <v>819</v>
      </c>
      <c r="RCW97" s="975" t="s">
        <v>819</v>
      </c>
      <c r="RCX97" s="975" t="s">
        <v>819</v>
      </c>
      <c r="RCY97" s="975" t="s">
        <v>819</v>
      </c>
      <c r="RCZ97" s="975" t="s">
        <v>819</v>
      </c>
      <c r="RDA97" s="975" t="s">
        <v>819</v>
      </c>
      <c r="RDB97" s="975" t="s">
        <v>819</v>
      </c>
      <c r="RDC97" s="975" t="s">
        <v>819</v>
      </c>
      <c r="RDD97" s="975" t="s">
        <v>819</v>
      </c>
      <c r="RDE97" s="975" t="s">
        <v>819</v>
      </c>
      <c r="RDF97" s="975" t="s">
        <v>819</v>
      </c>
      <c r="RDG97" s="975" t="s">
        <v>819</v>
      </c>
      <c r="RDH97" s="975" t="s">
        <v>819</v>
      </c>
      <c r="RDI97" s="975" t="s">
        <v>819</v>
      </c>
      <c r="RDJ97" s="975" t="s">
        <v>819</v>
      </c>
      <c r="RDK97" s="975" t="s">
        <v>819</v>
      </c>
      <c r="RDL97" s="975" t="s">
        <v>819</v>
      </c>
      <c r="RDM97" s="975" t="s">
        <v>819</v>
      </c>
      <c r="RDN97" s="975" t="s">
        <v>819</v>
      </c>
      <c r="RDO97" s="975" t="s">
        <v>819</v>
      </c>
      <c r="RDP97" s="975" t="s">
        <v>819</v>
      </c>
      <c r="RDQ97" s="975" t="s">
        <v>819</v>
      </c>
      <c r="RDR97" s="975" t="s">
        <v>819</v>
      </c>
      <c r="RDS97" s="975" t="s">
        <v>819</v>
      </c>
      <c r="RDT97" s="975" t="s">
        <v>819</v>
      </c>
      <c r="RDU97" s="975" t="s">
        <v>819</v>
      </c>
      <c r="RDV97" s="975" t="s">
        <v>819</v>
      </c>
      <c r="RDW97" s="975" t="s">
        <v>819</v>
      </c>
      <c r="RDX97" s="975" t="s">
        <v>819</v>
      </c>
      <c r="RDY97" s="975" t="s">
        <v>819</v>
      </c>
      <c r="RDZ97" s="975" t="s">
        <v>819</v>
      </c>
      <c r="REA97" s="975" t="s">
        <v>819</v>
      </c>
      <c r="REB97" s="975" t="s">
        <v>819</v>
      </c>
      <c r="REC97" s="975" t="s">
        <v>819</v>
      </c>
      <c r="RED97" s="975" t="s">
        <v>819</v>
      </c>
      <c r="REE97" s="975" t="s">
        <v>819</v>
      </c>
      <c r="REF97" s="975" t="s">
        <v>819</v>
      </c>
      <c r="REG97" s="975" t="s">
        <v>819</v>
      </c>
      <c r="REH97" s="975" t="s">
        <v>819</v>
      </c>
      <c r="REI97" s="975" t="s">
        <v>819</v>
      </c>
      <c r="REJ97" s="975" t="s">
        <v>819</v>
      </c>
      <c r="REK97" s="975" t="s">
        <v>819</v>
      </c>
      <c r="REL97" s="975" t="s">
        <v>819</v>
      </c>
      <c r="REM97" s="975" t="s">
        <v>819</v>
      </c>
      <c r="REN97" s="975" t="s">
        <v>819</v>
      </c>
      <c r="REO97" s="975" t="s">
        <v>819</v>
      </c>
      <c r="REP97" s="975" t="s">
        <v>819</v>
      </c>
      <c r="REQ97" s="975" t="s">
        <v>819</v>
      </c>
      <c r="RER97" s="975" t="s">
        <v>819</v>
      </c>
      <c r="RES97" s="975" t="s">
        <v>819</v>
      </c>
      <c r="RET97" s="975" t="s">
        <v>819</v>
      </c>
      <c r="REU97" s="975" t="s">
        <v>819</v>
      </c>
      <c r="REV97" s="975" t="s">
        <v>819</v>
      </c>
      <c r="REW97" s="975" t="s">
        <v>819</v>
      </c>
      <c r="REX97" s="975" t="s">
        <v>819</v>
      </c>
      <c r="REY97" s="975" t="s">
        <v>819</v>
      </c>
      <c r="REZ97" s="975" t="s">
        <v>819</v>
      </c>
      <c r="RFA97" s="975" t="s">
        <v>819</v>
      </c>
      <c r="RFB97" s="975" t="s">
        <v>819</v>
      </c>
      <c r="RFC97" s="975" t="s">
        <v>819</v>
      </c>
      <c r="RFD97" s="975" t="s">
        <v>819</v>
      </c>
      <c r="RFE97" s="975" t="s">
        <v>819</v>
      </c>
      <c r="RFF97" s="975" t="s">
        <v>819</v>
      </c>
      <c r="RFG97" s="975" t="s">
        <v>819</v>
      </c>
      <c r="RFH97" s="975" t="s">
        <v>819</v>
      </c>
      <c r="RFI97" s="975" t="s">
        <v>819</v>
      </c>
      <c r="RFJ97" s="975" t="s">
        <v>819</v>
      </c>
      <c r="RFK97" s="975" t="s">
        <v>819</v>
      </c>
      <c r="RFL97" s="975" t="s">
        <v>819</v>
      </c>
      <c r="RFM97" s="975" t="s">
        <v>819</v>
      </c>
      <c r="RFN97" s="975" t="s">
        <v>819</v>
      </c>
      <c r="RFO97" s="975" t="s">
        <v>819</v>
      </c>
      <c r="RFP97" s="975" t="s">
        <v>819</v>
      </c>
      <c r="RFQ97" s="975" t="s">
        <v>819</v>
      </c>
      <c r="RFR97" s="975" t="s">
        <v>819</v>
      </c>
      <c r="RFS97" s="975" t="s">
        <v>819</v>
      </c>
      <c r="RFT97" s="975" t="s">
        <v>819</v>
      </c>
      <c r="RFU97" s="975" t="s">
        <v>819</v>
      </c>
      <c r="RFV97" s="975" t="s">
        <v>819</v>
      </c>
      <c r="RFW97" s="975" t="s">
        <v>819</v>
      </c>
      <c r="RFX97" s="975" t="s">
        <v>819</v>
      </c>
      <c r="RFY97" s="975" t="s">
        <v>819</v>
      </c>
      <c r="RFZ97" s="975" t="s">
        <v>819</v>
      </c>
      <c r="RGA97" s="975" t="s">
        <v>819</v>
      </c>
      <c r="RGB97" s="975" t="s">
        <v>819</v>
      </c>
      <c r="RGC97" s="975" t="s">
        <v>819</v>
      </c>
      <c r="RGD97" s="975" t="s">
        <v>819</v>
      </c>
      <c r="RGE97" s="975" t="s">
        <v>819</v>
      </c>
      <c r="RGF97" s="975" t="s">
        <v>819</v>
      </c>
      <c r="RGG97" s="975" t="s">
        <v>819</v>
      </c>
      <c r="RGH97" s="975" t="s">
        <v>819</v>
      </c>
      <c r="RGI97" s="975" t="s">
        <v>819</v>
      </c>
      <c r="RGJ97" s="975" t="s">
        <v>819</v>
      </c>
      <c r="RGK97" s="975" t="s">
        <v>819</v>
      </c>
      <c r="RGL97" s="975" t="s">
        <v>819</v>
      </c>
      <c r="RGM97" s="975" t="s">
        <v>819</v>
      </c>
      <c r="RGN97" s="975" t="s">
        <v>819</v>
      </c>
      <c r="RGO97" s="975" t="s">
        <v>819</v>
      </c>
      <c r="RGP97" s="975" t="s">
        <v>819</v>
      </c>
      <c r="RGQ97" s="975" t="s">
        <v>819</v>
      </c>
      <c r="RGR97" s="975" t="s">
        <v>819</v>
      </c>
      <c r="RGS97" s="975" t="s">
        <v>819</v>
      </c>
      <c r="RGT97" s="975" t="s">
        <v>819</v>
      </c>
      <c r="RGU97" s="975" t="s">
        <v>819</v>
      </c>
      <c r="RGV97" s="975" t="s">
        <v>819</v>
      </c>
      <c r="RGW97" s="975" t="s">
        <v>819</v>
      </c>
      <c r="RGX97" s="975" t="s">
        <v>819</v>
      </c>
      <c r="RGY97" s="975" t="s">
        <v>819</v>
      </c>
      <c r="RGZ97" s="975" t="s">
        <v>819</v>
      </c>
      <c r="RHA97" s="975" t="s">
        <v>819</v>
      </c>
      <c r="RHB97" s="975" t="s">
        <v>819</v>
      </c>
      <c r="RHC97" s="975" t="s">
        <v>819</v>
      </c>
      <c r="RHD97" s="975" t="s">
        <v>819</v>
      </c>
      <c r="RHE97" s="975" t="s">
        <v>819</v>
      </c>
      <c r="RHF97" s="975" t="s">
        <v>819</v>
      </c>
      <c r="RHG97" s="975" t="s">
        <v>819</v>
      </c>
      <c r="RHH97" s="975" t="s">
        <v>819</v>
      </c>
      <c r="RHI97" s="975" t="s">
        <v>819</v>
      </c>
      <c r="RHJ97" s="975" t="s">
        <v>819</v>
      </c>
      <c r="RHK97" s="975" t="s">
        <v>819</v>
      </c>
      <c r="RHL97" s="975" t="s">
        <v>819</v>
      </c>
      <c r="RHM97" s="975" t="s">
        <v>819</v>
      </c>
      <c r="RHN97" s="975" t="s">
        <v>819</v>
      </c>
      <c r="RHO97" s="975" t="s">
        <v>819</v>
      </c>
      <c r="RHP97" s="975" t="s">
        <v>819</v>
      </c>
      <c r="RHQ97" s="975" t="s">
        <v>819</v>
      </c>
      <c r="RHR97" s="975" t="s">
        <v>819</v>
      </c>
      <c r="RHS97" s="975" t="s">
        <v>819</v>
      </c>
      <c r="RHT97" s="975" t="s">
        <v>819</v>
      </c>
      <c r="RHU97" s="975" t="s">
        <v>819</v>
      </c>
      <c r="RHV97" s="975" t="s">
        <v>819</v>
      </c>
      <c r="RHW97" s="975" t="s">
        <v>819</v>
      </c>
      <c r="RHX97" s="975" t="s">
        <v>819</v>
      </c>
      <c r="RHY97" s="975" t="s">
        <v>819</v>
      </c>
      <c r="RHZ97" s="975" t="s">
        <v>819</v>
      </c>
      <c r="RIA97" s="975" t="s">
        <v>819</v>
      </c>
      <c r="RIB97" s="975" t="s">
        <v>819</v>
      </c>
      <c r="RIC97" s="975" t="s">
        <v>819</v>
      </c>
      <c r="RID97" s="975" t="s">
        <v>819</v>
      </c>
      <c r="RIE97" s="975" t="s">
        <v>819</v>
      </c>
      <c r="RIF97" s="975" t="s">
        <v>819</v>
      </c>
      <c r="RIG97" s="975" t="s">
        <v>819</v>
      </c>
      <c r="RIH97" s="975" t="s">
        <v>819</v>
      </c>
      <c r="RII97" s="975" t="s">
        <v>819</v>
      </c>
      <c r="RIJ97" s="975" t="s">
        <v>819</v>
      </c>
      <c r="RIK97" s="975" t="s">
        <v>819</v>
      </c>
      <c r="RIL97" s="975" t="s">
        <v>819</v>
      </c>
      <c r="RIM97" s="975" t="s">
        <v>819</v>
      </c>
      <c r="RIN97" s="975" t="s">
        <v>819</v>
      </c>
      <c r="RIO97" s="975" t="s">
        <v>819</v>
      </c>
      <c r="RIP97" s="975" t="s">
        <v>819</v>
      </c>
      <c r="RIQ97" s="975" t="s">
        <v>819</v>
      </c>
      <c r="RIR97" s="975" t="s">
        <v>819</v>
      </c>
      <c r="RIS97" s="975" t="s">
        <v>819</v>
      </c>
      <c r="RIT97" s="975" t="s">
        <v>819</v>
      </c>
      <c r="RIU97" s="975" t="s">
        <v>819</v>
      </c>
      <c r="RIV97" s="975" t="s">
        <v>819</v>
      </c>
      <c r="RIW97" s="975" t="s">
        <v>819</v>
      </c>
      <c r="RIX97" s="975" t="s">
        <v>819</v>
      </c>
      <c r="RIY97" s="975" t="s">
        <v>819</v>
      </c>
      <c r="RIZ97" s="975" t="s">
        <v>819</v>
      </c>
      <c r="RJA97" s="975" t="s">
        <v>819</v>
      </c>
      <c r="RJB97" s="975" t="s">
        <v>819</v>
      </c>
      <c r="RJC97" s="975" t="s">
        <v>819</v>
      </c>
      <c r="RJD97" s="975" t="s">
        <v>819</v>
      </c>
      <c r="RJE97" s="975" t="s">
        <v>819</v>
      </c>
      <c r="RJF97" s="975" t="s">
        <v>819</v>
      </c>
      <c r="RJG97" s="975" t="s">
        <v>819</v>
      </c>
      <c r="RJH97" s="975" t="s">
        <v>819</v>
      </c>
      <c r="RJI97" s="975" t="s">
        <v>819</v>
      </c>
      <c r="RJJ97" s="975" t="s">
        <v>819</v>
      </c>
      <c r="RJK97" s="975" t="s">
        <v>819</v>
      </c>
      <c r="RJL97" s="975" t="s">
        <v>819</v>
      </c>
      <c r="RJM97" s="975" t="s">
        <v>819</v>
      </c>
      <c r="RJN97" s="975" t="s">
        <v>819</v>
      </c>
      <c r="RJO97" s="975" t="s">
        <v>819</v>
      </c>
      <c r="RJP97" s="975" t="s">
        <v>819</v>
      </c>
      <c r="RJQ97" s="975" t="s">
        <v>819</v>
      </c>
      <c r="RJR97" s="975" t="s">
        <v>819</v>
      </c>
      <c r="RJS97" s="975" t="s">
        <v>819</v>
      </c>
      <c r="RJT97" s="975" t="s">
        <v>819</v>
      </c>
      <c r="RJU97" s="975" t="s">
        <v>819</v>
      </c>
      <c r="RJV97" s="975" t="s">
        <v>819</v>
      </c>
      <c r="RJW97" s="975" t="s">
        <v>819</v>
      </c>
      <c r="RJX97" s="975" t="s">
        <v>819</v>
      </c>
      <c r="RJY97" s="975" t="s">
        <v>819</v>
      </c>
      <c r="RJZ97" s="975" t="s">
        <v>819</v>
      </c>
      <c r="RKA97" s="975" t="s">
        <v>819</v>
      </c>
      <c r="RKB97" s="975" t="s">
        <v>819</v>
      </c>
      <c r="RKC97" s="975" t="s">
        <v>819</v>
      </c>
      <c r="RKD97" s="975" t="s">
        <v>819</v>
      </c>
      <c r="RKE97" s="975" t="s">
        <v>819</v>
      </c>
      <c r="RKF97" s="975" t="s">
        <v>819</v>
      </c>
      <c r="RKG97" s="975" t="s">
        <v>819</v>
      </c>
      <c r="RKH97" s="975" t="s">
        <v>819</v>
      </c>
      <c r="RKI97" s="975" t="s">
        <v>819</v>
      </c>
      <c r="RKJ97" s="975" t="s">
        <v>819</v>
      </c>
      <c r="RKK97" s="975" t="s">
        <v>819</v>
      </c>
      <c r="RKL97" s="975" t="s">
        <v>819</v>
      </c>
      <c r="RKM97" s="975" t="s">
        <v>819</v>
      </c>
      <c r="RKN97" s="975" t="s">
        <v>819</v>
      </c>
      <c r="RKO97" s="975" t="s">
        <v>819</v>
      </c>
      <c r="RKP97" s="975" t="s">
        <v>819</v>
      </c>
      <c r="RKQ97" s="975" t="s">
        <v>819</v>
      </c>
      <c r="RKR97" s="975" t="s">
        <v>819</v>
      </c>
      <c r="RKS97" s="975" t="s">
        <v>819</v>
      </c>
      <c r="RKT97" s="975" t="s">
        <v>819</v>
      </c>
      <c r="RKU97" s="975" t="s">
        <v>819</v>
      </c>
      <c r="RKV97" s="975" t="s">
        <v>819</v>
      </c>
      <c r="RKW97" s="975" t="s">
        <v>819</v>
      </c>
      <c r="RKX97" s="975" t="s">
        <v>819</v>
      </c>
      <c r="RKY97" s="975" t="s">
        <v>819</v>
      </c>
      <c r="RKZ97" s="975" t="s">
        <v>819</v>
      </c>
      <c r="RLA97" s="975" t="s">
        <v>819</v>
      </c>
      <c r="RLB97" s="975" t="s">
        <v>819</v>
      </c>
      <c r="RLC97" s="975" t="s">
        <v>819</v>
      </c>
      <c r="RLD97" s="975" t="s">
        <v>819</v>
      </c>
      <c r="RLE97" s="975" t="s">
        <v>819</v>
      </c>
      <c r="RLF97" s="975" t="s">
        <v>819</v>
      </c>
      <c r="RLG97" s="975" t="s">
        <v>819</v>
      </c>
      <c r="RLH97" s="975" t="s">
        <v>819</v>
      </c>
      <c r="RLI97" s="975" t="s">
        <v>819</v>
      </c>
      <c r="RLJ97" s="975" t="s">
        <v>819</v>
      </c>
      <c r="RLK97" s="975" t="s">
        <v>819</v>
      </c>
      <c r="RLL97" s="975" t="s">
        <v>819</v>
      </c>
      <c r="RLM97" s="975" t="s">
        <v>819</v>
      </c>
      <c r="RLN97" s="975" t="s">
        <v>819</v>
      </c>
      <c r="RLO97" s="975" t="s">
        <v>819</v>
      </c>
      <c r="RLP97" s="975" t="s">
        <v>819</v>
      </c>
      <c r="RLQ97" s="975" t="s">
        <v>819</v>
      </c>
      <c r="RLR97" s="975" t="s">
        <v>819</v>
      </c>
      <c r="RLS97" s="975" t="s">
        <v>819</v>
      </c>
      <c r="RLT97" s="975" t="s">
        <v>819</v>
      </c>
      <c r="RLU97" s="975" t="s">
        <v>819</v>
      </c>
      <c r="RLV97" s="975" t="s">
        <v>819</v>
      </c>
      <c r="RLW97" s="975" t="s">
        <v>819</v>
      </c>
      <c r="RLX97" s="975" t="s">
        <v>819</v>
      </c>
      <c r="RLY97" s="975" t="s">
        <v>819</v>
      </c>
      <c r="RLZ97" s="975" t="s">
        <v>819</v>
      </c>
      <c r="RMA97" s="975" t="s">
        <v>819</v>
      </c>
      <c r="RMB97" s="975" t="s">
        <v>819</v>
      </c>
      <c r="RMC97" s="975" t="s">
        <v>819</v>
      </c>
      <c r="RMD97" s="975" t="s">
        <v>819</v>
      </c>
      <c r="RME97" s="975" t="s">
        <v>819</v>
      </c>
      <c r="RMF97" s="975" t="s">
        <v>819</v>
      </c>
      <c r="RMG97" s="975" t="s">
        <v>819</v>
      </c>
      <c r="RMH97" s="975" t="s">
        <v>819</v>
      </c>
      <c r="RMI97" s="975" t="s">
        <v>819</v>
      </c>
      <c r="RMJ97" s="975" t="s">
        <v>819</v>
      </c>
      <c r="RMK97" s="975" t="s">
        <v>819</v>
      </c>
      <c r="RML97" s="975" t="s">
        <v>819</v>
      </c>
      <c r="RMM97" s="975" t="s">
        <v>819</v>
      </c>
      <c r="RMN97" s="975" t="s">
        <v>819</v>
      </c>
      <c r="RMO97" s="975" t="s">
        <v>819</v>
      </c>
      <c r="RMP97" s="975" t="s">
        <v>819</v>
      </c>
      <c r="RMQ97" s="975" t="s">
        <v>819</v>
      </c>
      <c r="RMR97" s="975" t="s">
        <v>819</v>
      </c>
      <c r="RMS97" s="975" t="s">
        <v>819</v>
      </c>
      <c r="RMT97" s="975" t="s">
        <v>819</v>
      </c>
      <c r="RMU97" s="975" t="s">
        <v>819</v>
      </c>
      <c r="RMV97" s="975" t="s">
        <v>819</v>
      </c>
      <c r="RMW97" s="975" t="s">
        <v>819</v>
      </c>
      <c r="RMX97" s="975" t="s">
        <v>819</v>
      </c>
      <c r="RMY97" s="975" t="s">
        <v>819</v>
      </c>
      <c r="RMZ97" s="975" t="s">
        <v>819</v>
      </c>
      <c r="RNA97" s="975" t="s">
        <v>819</v>
      </c>
      <c r="RNB97" s="975" t="s">
        <v>819</v>
      </c>
      <c r="RNC97" s="975" t="s">
        <v>819</v>
      </c>
      <c r="RND97" s="975" t="s">
        <v>819</v>
      </c>
      <c r="RNE97" s="975" t="s">
        <v>819</v>
      </c>
      <c r="RNF97" s="975" t="s">
        <v>819</v>
      </c>
      <c r="RNG97" s="975" t="s">
        <v>819</v>
      </c>
      <c r="RNH97" s="975" t="s">
        <v>819</v>
      </c>
      <c r="RNI97" s="975" t="s">
        <v>819</v>
      </c>
      <c r="RNJ97" s="975" t="s">
        <v>819</v>
      </c>
      <c r="RNK97" s="975" t="s">
        <v>819</v>
      </c>
      <c r="RNL97" s="975" t="s">
        <v>819</v>
      </c>
      <c r="RNM97" s="975" t="s">
        <v>819</v>
      </c>
      <c r="RNN97" s="975" t="s">
        <v>819</v>
      </c>
      <c r="RNO97" s="975" t="s">
        <v>819</v>
      </c>
      <c r="RNP97" s="975" t="s">
        <v>819</v>
      </c>
      <c r="RNQ97" s="975" t="s">
        <v>819</v>
      </c>
      <c r="RNR97" s="975" t="s">
        <v>819</v>
      </c>
      <c r="RNS97" s="975" t="s">
        <v>819</v>
      </c>
      <c r="RNT97" s="975" t="s">
        <v>819</v>
      </c>
      <c r="RNU97" s="975" t="s">
        <v>819</v>
      </c>
      <c r="RNV97" s="975" t="s">
        <v>819</v>
      </c>
      <c r="RNW97" s="975" t="s">
        <v>819</v>
      </c>
      <c r="RNX97" s="975" t="s">
        <v>819</v>
      </c>
      <c r="RNY97" s="975" t="s">
        <v>819</v>
      </c>
      <c r="RNZ97" s="975" t="s">
        <v>819</v>
      </c>
      <c r="ROA97" s="975" t="s">
        <v>819</v>
      </c>
      <c r="ROB97" s="975" t="s">
        <v>819</v>
      </c>
      <c r="ROC97" s="975" t="s">
        <v>819</v>
      </c>
      <c r="ROD97" s="975" t="s">
        <v>819</v>
      </c>
      <c r="ROE97" s="975" t="s">
        <v>819</v>
      </c>
      <c r="ROF97" s="975" t="s">
        <v>819</v>
      </c>
      <c r="ROG97" s="975" t="s">
        <v>819</v>
      </c>
      <c r="ROH97" s="975" t="s">
        <v>819</v>
      </c>
      <c r="ROI97" s="975" t="s">
        <v>819</v>
      </c>
      <c r="ROJ97" s="975" t="s">
        <v>819</v>
      </c>
      <c r="ROK97" s="975" t="s">
        <v>819</v>
      </c>
      <c r="ROL97" s="975" t="s">
        <v>819</v>
      </c>
      <c r="ROM97" s="975" t="s">
        <v>819</v>
      </c>
      <c r="RON97" s="975" t="s">
        <v>819</v>
      </c>
      <c r="ROO97" s="975" t="s">
        <v>819</v>
      </c>
      <c r="ROP97" s="975" t="s">
        <v>819</v>
      </c>
      <c r="ROQ97" s="975" t="s">
        <v>819</v>
      </c>
      <c r="ROR97" s="975" t="s">
        <v>819</v>
      </c>
      <c r="ROS97" s="975" t="s">
        <v>819</v>
      </c>
      <c r="ROT97" s="975" t="s">
        <v>819</v>
      </c>
      <c r="ROU97" s="975" t="s">
        <v>819</v>
      </c>
      <c r="ROV97" s="975" t="s">
        <v>819</v>
      </c>
      <c r="ROW97" s="975" t="s">
        <v>819</v>
      </c>
      <c r="ROX97" s="975" t="s">
        <v>819</v>
      </c>
      <c r="ROY97" s="975" t="s">
        <v>819</v>
      </c>
      <c r="ROZ97" s="975" t="s">
        <v>819</v>
      </c>
      <c r="RPA97" s="975" t="s">
        <v>819</v>
      </c>
      <c r="RPB97" s="975" t="s">
        <v>819</v>
      </c>
      <c r="RPC97" s="975" t="s">
        <v>819</v>
      </c>
      <c r="RPD97" s="975" t="s">
        <v>819</v>
      </c>
      <c r="RPE97" s="975" t="s">
        <v>819</v>
      </c>
      <c r="RPF97" s="975" t="s">
        <v>819</v>
      </c>
      <c r="RPG97" s="975" t="s">
        <v>819</v>
      </c>
      <c r="RPH97" s="975" t="s">
        <v>819</v>
      </c>
      <c r="RPI97" s="975" t="s">
        <v>819</v>
      </c>
      <c r="RPJ97" s="975" t="s">
        <v>819</v>
      </c>
      <c r="RPK97" s="975" t="s">
        <v>819</v>
      </c>
      <c r="RPL97" s="975" t="s">
        <v>819</v>
      </c>
      <c r="RPM97" s="975" t="s">
        <v>819</v>
      </c>
      <c r="RPN97" s="975" t="s">
        <v>819</v>
      </c>
      <c r="RPO97" s="975" t="s">
        <v>819</v>
      </c>
      <c r="RPP97" s="975" t="s">
        <v>819</v>
      </c>
      <c r="RPQ97" s="975" t="s">
        <v>819</v>
      </c>
      <c r="RPR97" s="975" t="s">
        <v>819</v>
      </c>
      <c r="RPS97" s="975" t="s">
        <v>819</v>
      </c>
      <c r="RPT97" s="975" t="s">
        <v>819</v>
      </c>
      <c r="RPU97" s="975" t="s">
        <v>819</v>
      </c>
      <c r="RPV97" s="975" t="s">
        <v>819</v>
      </c>
      <c r="RPW97" s="975" t="s">
        <v>819</v>
      </c>
      <c r="RPX97" s="975" t="s">
        <v>819</v>
      </c>
      <c r="RPY97" s="975" t="s">
        <v>819</v>
      </c>
      <c r="RPZ97" s="975" t="s">
        <v>819</v>
      </c>
      <c r="RQA97" s="975" t="s">
        <v>819</v>
      </c>
      <c r="RQB97" s="975" t="s">
        <v>819</v>
      </c>
      <c r="RQC97" s="975" t="s">
        <v>819</v>
      </c>
      <c r="RQD97" s="975" t="s">
        <v>819</v>
      </c>
      <c r="RQE97" s="975" t="s">
        <v>819</v>
      </c>
      <c r="RQF97" s="975" t="s">
        <v>819</v>
      </c>
      <c r="RQG97" s="975" t="s">
        <v>819</v>
      </c>
      <c r="RQH97" s="975" t="s">
        <v>819</v>
      </c>
      <c r="RQI97" s="975" t="s">
        <v>819</v>
      </c>
      <c r="RQJ97" s="975" t="s">
        <v>819</v>
      </c>
      <c r="RQK97" s="975" t="s">
        <v>819</v>
      </c>
      <c r="RQL97" s="975" t="s">
        <v>819</v>
      </c>
      <c r="RQM97" s="975" t="s">
        <v>819</v>
      </c>
      <c r="RQN97" s="975" t="s">
        <v>819</v>
      </c>
      <c r="RQO97" s="975" t="s">
        <v>819</v>
      </c>
      <c r="RQP97" s="975" t="s">
        <v>819</v>
      </c>
      <c r="RQQ97" s="975" t="s">
        <v>819</v>
      </c>
      <c r="RQR97" s="975" t="s">
        <v>819</v>
      </c>
      <c r="RQS97" s="975" t="s">
        <v>819</v>
      </c>
      <c r="RQT97" s="975" t="s">
        <v>819</v>
      </c>
      <c r="RQU97" s="975" t="s">
        <v>819</v>
      </c>
      <c r="RQV97" s="975" t="s">
        <v>819</v>
      </c>
      <c r="RQW97" s="975" t="s">
        <v>819</v>
      </c>
      <c r="RQX97" s="975" t="s">
        <v>819</v>
      </c>
      <c r="RQY97" s="975" t="s">
        <v>819</v>
      </c>
      <c r="RQZ97" s="975" t="s">
        <v>819</v>
      </c>
      <c r="RRA97" s="975" t="s">
        <v>819</v>
      </c>
      <c r="RRB97" s="975" t="s">
        <v>819</v>
      </c>
      <c r="RRC97" s="975" t="s">
        <v>819</v>
      </c>
      <c r="RRD97" s="975" t="s">
        <v>819</v>
      </c>
      <c r="RRE97" s="975" t="s">
        <v>819</v>
      </c>
      <c r="RRF97" s="975" t="s">
        <v>819</v>
      </c>
      <c r="RRG97" s="975" t="s">
        <v>819</v>
      </c>
      <c r="RRH97" s="975" t="s">
        <v>819</v>
      </c>
      <c r="RRI97" s="975" t="s">
        <v>819</v>
      </c>
      <c r="RRJ97" s="975" t="s">
        <v>819</v>
      </c>
      <c r="RRK97" s="975" t="s">
        <v>819</v>
      </c>
      <c r="RRL97" s="975" t="s">
        <v>819</v>
      </c>
      <c r="RRM97" s="975" t="s">
        <v>819</v>
      </c>
      <c r="RRN97" s="975" t="s">
        <v>819</v>
      </c>
      <c r="RRO97" s="975" t="s">
        <v>819</v>
      </c>
      <c r="RRP97" s="975" t="s">
        <v>819</v>
      </c>
      <c r="RRQ97" s="975" t="s">
        <v>819</v>
      </c>
      <c r="RRR97" s="975" t="s">
        <v>819</v>
      </c>
      <c r="RRS97" s="975" t="s">
        <v>819</v>
      </c>
      <c r="RRT97" s="975" t="s">
        <v>819</v>
      </c>
      <c r="RRU97" s="975" t="s">
        <v>819</v>
      </c>
      <c r="RRV97" s="975" t="s">
        <v>819</v>
      </c>
      <c r="RRW97" s="975" t="s">
        <v>819</v>
      </c>
      <c r="RRX97" s="975" t="s">
        <v>819</v>
      </c>
      <c r="RRY97" s="975" t="s">
        <v>819</v>
      </c>
      <c r="RRZ97" s="975" t="s">
        <v>819</v>
      </c>
      <c r="RSA97" s="975" t="s">
        <v>819</v>
      </c>
      <c r="RSB97" s="975" t="s">
        <v>819</v>
      </c>
      <c r="RSC97" s="975" t="s">
        <v>819</v>
      </c>
      <c r="RSD97" s="975" t="s">
        <v>819</v>
      </c>
      <c r="RSE97" s="975" t="s">
        <v>819</v>
      </c>
      <c r="RSF97" s="975" t="s">
        <v>819</v>
      </c>
      <c r="RSG97" s="975" t="s">
        <v>819</v>
      </c>
      <c r="RSH97" s="975" t="s">
        <v>819</v>
      </c>
      <c r="RSI97" s="975" t="s">
        <v>819</v>
      </c>
      <c r="RSJ97" s="975" t="s">
        <v>819</v>
      </c>
      <c r="RSK97" s="975" t="s">
        <v>819</v>
      </c>
      <c r="RSL97" s="975" t="s">
        <v>819</v>
      </c>
      <c r="RSM97" s="975" t="s">
        <v>819</v>
      </c>
      <c r="RSN97" s="975" t="s">
        <v>819</v>
      </c>
      <c r="RSO97" s="975" t="s">
        <v>819</v>
      </c>
      <c r="RSP97" s="975" t="s">
        <v>819</v>
      </c>
      <c r="RSQ97" s="975" t="s">
        <v>819</v>
      </c>
      <c r="RSR97" s="975" t="s">
        <v>819</v>
      </c>
      <c r="RSS97" s="975" t="s">
        <v>819</v>
      </c>
      <c r="RST97" s="975" t="s">
        <v>819</v>
      </c>
      <c r="RSU97" s="975" t="s">
        <v>819</v>
      </c>
      <c r="RSV97" s="975" t="s">
        <v>819</v>
      </c>
      <c r="RSW97" s="975" t="s">
        <v>819</v>
      </c>
      <c r="RSX97" s="975" t="s">
        <v>819</v>
      </c>
      <c r="RSY97" s="975" t="s">
        <v>819</v>
      </c>
      <c r="RSZ97" s="975" t="s">
        <v>819</v>
      </c>
      <c r="RTA97" s="975" t="s">
        <v>819</v>
      </c>
      <c r="RTB97" s="975" t="s">
        <v>819</v>
      </c>
      <c r="RTC97" s="975" t="s">
        <v>819</v>
      </c>
      <c r="RTD97" s="975" t="s">
        <v>819</v>
      </c>
      <c r="RTE97" s="975" t="s">
        <v>819</v>
      </c>
      <c r="RTF97" s="975" t="s">
        <v>819</v>
      </c>
      <c r="RTG97" s="975" t="s">
        <v>819</v>
      </c>
      <c r="RTH97" s="975" t="s">
        <v>819</v>
      </c>
      <c r="RTI97" s="975" t="s">
        <v>819</v>
      </c>
      <c r="RTJ97" s="975" t="s">
        <v>819</v>
      </c>
      <c r="RTK97" s="975" t="s">
        <v>819</v>
      </c>
      <c r="RTL97" s="975" t="s">
        <v>819</v>
      </c>
      <c r="RTM97" s="975" t="s">
        <v>819</v>
      </c>
      <c r="RTN97" s="975" t="s">
        <v>819</v>
      </c>
      <c r="RTO97" s="975" t="s">
        <v>819</v>
      </c>
      <c r="RTP97" s="975" t="s">
        <v>819</v>
      </c>
      <c r="RTQ97" s="975" t="s">
        <v>819</v>
      </c>
      <c r="RTR97" s="975" t="s">
        <v>819</v>
      </c>
      <c r="RTS97" s="975" t="s">
        <v>819</v>
      </c>
      <c r="RTT97" s="975" t="s">
        <v>819</v>
      </c>
      <c r="RTU97" s="975" t="s">
        <v>819</v>
      </c>
      <c r="RTV97" s="975" t="s">
        <v>819</v>
      </c>
      <c r="RTW97" s="975" t="s">
        <v>819</v>
      </c>
      <c r="RTX97" s="975" t="s">
        <v>819</v>
      </c>
      <c r="RTY97" s="975" t="s">
        <v>819</v>
      </c>
      <c r="RTZ97" s="975" t="s">
        <v>819</v>
      </c>
      <c r="RUA97" s="975" t="s">
        <v>819</v>
      </c>
      <c r="RUB97" s="975" t="s">
        <v>819</v>
      </c>
      <c r="RUC97" s="975" t="s">
        <v>819</v>
      </c>
      <c r="RUD97" s="975" t="s">
        <v>819</v>
      </c>
      <c r="RUE97" s="975" t="s">
        <v>819</v>
      </c>
      <c r="RUF97" s="975" t="s">
        <v>819</v>
      </c>
      <c r="RUG97" s="975" t="s">
        <v>819</v>
      </c>
      <c r="RUH97" s="975" t="s">
        <v>819</v>
      </c>
      <c r="RUI97" s="975" t="s">
        <v>819</v>
      </c>
      <c r="RUJ97" s="975" t="s">
        <v>819</v>
      </c>
      <c r="RUK97" s="975" t="s">
        <v>819</v>
      </c>
      <c r="RUL97" s="975" t="s">
        <v>819</v>
      </c>
      <c r="RUM97" s="975" t="s">
        <v>819</v>
      </c>
      <c r="RUN97" s="975" t="s">
        <v>819</v>
      </c>
      <c r="RUO97" s="975" t="s">
        <v>819</v>
      </c>
      <c r="RUP97" s="975" t="s">
        <v>819</v>
      </c>
      <c r="RUQ97" s="975" t="s">
        <v>819</v>
      </c>
      <c r="RUR97" s="975" t="s">
        <v>819</v>
      </c>
      <c r="RUS97" s="975" t="s">
        <v>819</v>
      </c>
      <c r="RUT97" s="975" t="s">
        <v>819</v>
      </c>
      <c r="RUU97" s="975" t="s">
        <v>819</v>
      </c>
      <c r="RUV97" s="975" t="s">
        <v>819</v>
      </c>
      <c r="RUW97" s="975" t="s">
        <v>819</v>
      </c>
      <c r="RUX97" s="975" t="s">
        <v>819</v>
      </c>
      <c r="RUY97" s="975" t="s">
        <v>819</v>
      </c>
      <c r="RUZ97" s="975" t="s">
        <v>819</v>
      </c>
      <c r="RVA97" s="975" t="s">
        <v>819</v>
      </c>
      <c r="RVB97" s="975" t="s">
        <v>819</v>
      </c>
      <c r="RVC97" s="975" t="s">
        <v>819</v>
      </c>
      <c r="RVD97" s="975" t="s">
        <v>819</v>
      </c>
      <c r="RVE97" s="975" t="s">
        <v>819</v>
      </c>
      <c r="RVF97" s="975" t="s">
        <v>819</v>
      </c>
      <c r="RVG97" s="975" t="s">
        <v>819</v>
      </c>
      <c r="RVH97" s="975" t="s">
        <v>819</v>
      </c>
      <c r="RVI97" s="975" t="s">
        <v>819</v>
      </c>
      <c r="RVJ97" s="975" t="s">
        <v>819</v>
      </c>
      <c r="RVK97" s="975" t="s">
        <v>819</v>
      </c>
      <c r="RVL97" s="975" t="s">
        <v>819</v>
      </c>
      <c r="RVM97" s="975" t="s">
        <v>819</v>
      </c>
      <c r="RVN97" s="975" t="s">
        <v>819</v>
      </c>
      <c r="RVO97" s="975" t="s">
        <v>819</v>
      </c>
      <c r="RVP97" s="975" t="s">
        <v>819</v>
      </c>
      <c r="RVQ97" s="975" t="s">
        <v>819</v>
      </c>
      <c r="RVR97" s="975" t="s">
        <v>819</v>
      </c>
      <c r="RVS97" s="975" t="s">
        <v>819</v>
      </c>
      <c r="RVT97" s="975" t="s">
        <v>819</v>
      </c>
      <c r="RVU97" s="975" t="s">
        <v>819</v>
      </c>
      <c r="RVV97" s="975" t="s">
        <v>819</v>
      </c>
      <c r="RVW97" s="975" t="s">
        <v>819</v>
      </c>
      <c r="RVX97" s="975" t="s">
        <v>819</v>
      </c>
      <c r="RVY97" s="975" t="s">
        <v>819</v>
      </c>
      <c r="RVZ97" s="975" t="s">
        <v>819</v>
      </c>
      <c r="RWA97" s="975" t="s">
        <v>819</v>
      </c>
      <c r="RWB97" s="975" t="s">
        <v>819</v>
      </c>
      <c r="RWC97" s="975" t="s">
        <v>819</v>
      </c>
      <c r="RWD97" s="975" t="s">
        <v>819</v>
      </c>
      <c r="RWE97" s="975" t="s">
        <v>819</v>
      </c>
      <c r="RWF97" s="975" t="s">
        <v>819</v>
      </c>
      <c r="RWG97" s="975" t="s">
        <v>819</v>
      </c>
      <c r="RWH97" s="975" t="s">
        <v>819</v>
      </c>
      <c r="RWI97" s="975" t="s">
        <v>819</v>
      </c>
      <c r="RWJ97" s="975" t="s">
        <v>819</v>
      </c>
      <c r="RWK97" s="975" t="s">
        <v>819</v>
      </c>
      <c r="RWL97" s="975" t="s">
        <v>819</v>
      </c>
      <c r="RWM97" s="975" t="s">
        <v>819</v>
      </c>
      <c r="RWN97" s="975" t="s">
        <v>819</v>
      </c>
      <c r="RWO97" s="975" t="s">
        <v>819</v>
      </c>
      <c r="RWP97" s="975" t="s">
        <v>819</v>
      </c>
      <c r="RWQ97" s="975" t="s">
        <v>819</v>
      </c>
      <c r="RWR97" s="975" t="s">
        <v>819</v>
      </c>
      <c r="RWS97" s="975" t="s">
        <v>819</v>
      </c>
      <c r="RWT97" s="975" t="s">
        <v>819</v>
      </c>
      <c r="RWU97" s="975" t="s">
        <v>819</v>
      </c>
      <c r="RWV97" s="975" t="s">
        <v>819</v>
      </c>
      <c r="RWW97" s="975" t="s">
        <v>819</v>
      </c>
      <c r="RWX97" s="975" t="s">
        <v>819</v>
      </c>
      <c r="RWY97" s="975" t="s">
        <v>819</v>
      </c>
      <c r="RWZ97" s="975" t="s">
        <v>819</v>
      </c>
      <c r="RXA97" s="975" t="s">
        <v>819</v>
      </c>
      <c r="RXB97" s="975" t="s">
        <v>819</v>
      </c>
      <c r="RXC97" s="975" t="s">
        <v>819</v>
      </c>
      <c r="RXD97" s="975" t="s">
        <v>819</v>
      </c>
      <c r="RXE97" s="975" t="s">
        <v>819</v>
      </c>
      <c r="RXF97" s="975" t="s">
        <v>819</v>
      </c>
      <c r="RXG97" s="975" t="s">
        <v>819</v>
      </c>
      <c r="RXH97" s="975" t="s">
        <v>819</v>
      </c>
      <c r="RXI97" s="975" t="s">
        <v>819</v>
      </c>
      <c r="RXJ97" s="975" t="s">
        <v>819</v>
      </c>
      <c r="RXK97" s="975" t="s">
        <v>819</v>
      </c>
      <c r="RXL97" s="975" t="s">
        <v>819</v>
      </c>
      <c r="RXM97" s="975" t="s">
        <v>819</v>
      </c>
      <c r="RXN97" s="975" t="s">
        <v>819</v>
      </c>
      <c r="RXO97" s="975" t="s">
        <v>819</v>
      </c>
      <c r="RXP97" s="975" t="s">
        <v>819</v>
      </c>
      <c r="RXQ97" s="975" t="s">
        <v>819</v>
      </c>
      <c r="RXR97" s="975" t="s">
        <v>819</v>
      </c>
      <c r="RXS97" s="975" t="s">
        <v>819</v>
      </c>
      <c r="RXT97" s="975" t="s">
        <v>819</v>
      </c>
      <c r="RXU97" s="975" t="s">
        <v>819</v>
      </c>
      <c r="RXV97" s="975" t="s">
        <v>819</v>
      </c>
      <c r="RXW97" s="975" t="s">
        <v>819</v>
      </c>
      <c r="RXX97" s="975" t="s">
        <v>819</v>
      </c>
      <c r="RXY97" s="975" t="s">
        <v>819</v>
      </c>
      <c r="RXZ97" s="975" t="s">
        <v>819</v>
      </c>
      <c r="RYA97" s="975" t="s">
        <v>819</v>
      </c>
      <c r="RYB97" s="975" t="s">
        <v>819</v>
      </c>
      <c r="RYC97" s="975" t="s">
        <v>819</v>
      </c>
      <c r="RYD97" s="975" t="s">
        <v>819</v>
      </c>
      <c r="RYE97" s="975" t="s">
        <v>819</v>
      </c>
      <c r="RYF97" s="975" t="s">
        <v>819</v>
      </c>
      <c r="RYG97" s="975" t="s">
        <v>819</v>
      </c>
      <c r="RYH97" s="975" t="s">
        <v>819</v>
      </c>
      <c r="RYI97" s="975" t="s">
        <v>819</v>
      </c>
      <c r="RYJ97" s="975" t="s">
        <v>819</v>
      </c>
      <c r="RYK97" s="975" t="s">
        <v>819</v>
      </c>
      <c r="RYL97" s="975" t="s">
        <v>819</v>
      </c>
      <c r="RYM97" s="975" t="s">
        <v>819</v>
      </c>
      <c r="RYN97" s="975" t="s">
        <v>819</v>
      </c>
      <c r="RYO97" s="975" t="s">
        <v>819</v>
      </c>
      <c r="RYP97" s="975" t="s">
        <v>819</v>
      </c>
      <c r="RYQ97" s="975" t="s">
        <v>819</v>
      </c>
      <c r="RYR97" s="975" t="s">
        <v>819</v>
      </c>
      <c r="RYS97" s="975" t="s">
        <v>819</v>
      </c>
      <c r="RYT97" s="975" t="s">
        <v>819</v>
      </c>
      <c r="RYU97" s="975" t="s">
        <v>819</v>
      </c>
      <c r="RYV97" s="975" t="s">
        <v>819</v>
      </c>
      <c r="RYW97" s="975" t="s">
        <v>819</v>
      </c>
      <c r="RYX97" s="975" t="s">
        <v>819</v>
      </c>
      <c r="RYY97" s="975" t="s">
        <v>819</v>
      </c>
      <c r="RYZ97" s="975" t="s">
        <v>819</v>
      </c>
      <c r="RZA97" s="975" t="s">
        <v>819</v>
      </c>
      <c r="RZB97" s="975" t="s">
        <v>819</v>
      </c>
      <c r="RZC97" s="975" t="s">
        <v>819</v>
      </c>
      <c r="RZD97" s="975" t="s">
        <v>819</v>
      </c>
      <c r="RZE97" s="975" t="s">
        <v>819</v>
      </c>
      <c r="RZF97" s="975" t="s">
        <v>819</v>
      </c>
      <c r="RZG97" s="975" t="s">
        <v>819</v>
      </c>
      <c r="RZH97" s="975" t="s">
        <v>819</v>
      </c>
      <c r="RZI97" s="975" t="s">
        <v>819</v>
      </c>
      <c r="RZJ97" s="975" t="s">
        <v>819</v>
      </c>
      <c r="RZK97" s="975" t="s">
        <v>819</v>
      </c>
      <c r="RZL97" s="975" t="s">
        <v>819</v>
      </c>
      <c r="RZM97" s="975" t="s">
        <v>819</v>
      </c>
      <c r="RZN97" s="975" t="s">
        <v>819</v>
      </c>
      <c r="RZO97" s="975" t="s">
        <v>819</v>
      </c>
      <c r="RZP97" s="975" t="s">
        <v>819</v>
      </c>
      <c r="RZQ97" s="975" t="s">
        <v>819</v>
      </c>
      <c r="RZR97" s="975" t="s">
        <v>819</v>
      </c>
      <c r="RZS97" s="975" t="s">
        <v>819</v>
      </c>
      <c r="RZT97" s="975" t="s">
        <v>819</v>
      </c>
      <c r="RZU97" s="975" t="s">
        <v>819</v>
      </c>
      <c r="RZV97" s="975" t="s">
        <v>819</v>
      </c>
      <c r="RZW97" s="975" t="s">
        <v>819</v>
      </c>
      <c r="RZX97" s="975" t="s">
        <v>819</v>
      </c>
      <c r="RZY97" s="975" t="s">
        <v>819</v>
      </c>
      <c r="RZZ97" s="975" t="s">
        <v>819</v>
      </c>
      <c r="SAA97" s="975" t="s">
        <v>819</v>
      </c>
      <c r="SAB97" s="975" t="s">
        <v>819</v>
      </c>
      <c r="SAC97" s="975" t="s">
        <v>819</v>
      </c>
      <c r="SAD97" s="975" t="s">
        <v>819</v>
      </c>
      <c r="SAE97" s="975" t="s">
        <v>819</v>
      </c>
      <c r="SAF97" s="975" t="s">
        <v>819</v>
      </c>
      <c r="SAG97" s="975" t="s">
        <v>819</v>
      </c>
      <c r="SAH97" s="975" t="s">
        <v>819</v>
      </c>
      <c r="SAI97" s="975" t="s">
        <v>819</v>
      </c>
      <c r="SAJ97" s="975" t="s">
        <v>819</v>
      </c>
      <c r="SAK97" s="975" t="s">
        <v>819</v>
      </c>
      <c r="SAL97" s="975" t="s">
        <v>819</v>
      </c>
      <c r="SAM97" s="975" t="s">
        <v>819</v>
      </c>
      <c r="SAN97" s="975" t="s">
        <v>819</v>
      </c>
      <c r="SAO97" s="975" t="s">
        <v>819</v>
      </c>
      <c r="SAP97" s="975" t="s">
        <v>819</v>
      </c>
      <c r="SAQ97" s="975" t="s">
        <v>819</v>
      </c>
      <c r="SAR97" s="975" t="s">
        <v>819</v>
      </c>
      <c r="SAS97" s="975" t="s">
        <v>819</v>
      </c>
      <c r="SAT97" s="975" t="s">
        <v>819</v>
      </c>
      <c r="SAU97" s="975" t="s">
        <v>819</v>
      </c>
      <c r="SAV97" s="975" t="s">
        <v>819</v>
      </c>
      <c r="SAW97" s="975" t="s">
        <v>819</v>
      </c>
      <c r="SAX97" s="975" t="s">
        <v>819</v>
      </c>
      <c r="SAY97" s="975" t="s">
        <v>819</v>
      </c>
      <c r="SAZ97" s="975" t="s">
        <v>819</v>
      </c>
      <c r="SBA97" s="975" t="s">
        <v>819</v>
      </c>
      <c r="SBB97" s="975" t="s">
        <v>819</v>
      </c>
      <c r="SBC97" s="975" t="s">
        <v>819</v>
      </c>
      <c r="SBD97" s="975" t="s">
        <v>819</v>
      </c>
      <c r="SBE97" s="975" t="s">
        <v>819</v>
      </c>
      <c r="SBF97" s="975" t="s">
        <v>819</v>
      </c>
      <c r="SBG97" s="975" t="s">
        <v>819</v>
      </c>
      <c r="SBH97" s="975" t="s">
        <v>819</v>
      </c>
      <c r="SBI97" s="975" t="s">
        <v>819</v>
      </c>
      <c r="SBJ97" s="975" t="s">
        <v>819</v>
      </c>
      <c r="SBK97" s="975" t="s">
        <v>819</v>
      </c>
      <c r="SBL97" s="975" t="s">
        <v>819</v>
      </c>
      <c r="SBM97" s="975" t="s">
        <v>819</v>
      </c>
      <c r="SBN97" s="975" t="s">
        <v>819</v>
      </c>
      <c r="SBO97" s="975" t="s">
        <v>819</v>
      </c>
      <c r="SBP97" s="975" t="s">
        <v>819</v>
      </c>
      <c r="SBQ97" s="975" t="s">
        <v>819</v>
      </c>
      <c r="SBR97" s="975" t="s">
        <v>819</v>
      </c>
      <c r="SBS97" s="975" t="s">
        <v>819</v>
      </c>
      <c r="SBT97" s="975" t="s">
        <v>819</v>
      </c>
      <c r="SBU97" s="975" t="s">
        <v>819</v>
      </c>
      <c r="SBV97" s="975" t="s">
        <v>819</v>
      </c>
      <c r="SBW97" s="975" t="s">
        <v>819</v>
      </c>
      <c r="SBX97" s="975" t="s">
        <v>819</v>
      </c>
      <c r="SBY97" s="975" t="s">
        <v>819</v>
      </c>
      <c r="SBZ97" s="975" t="s">
        <v>819</v>
      </c>
      <c r="SCA97" s="975" t="s">
        <v>819</v>
      </c>
      <c r="SCB97" s="975" t="s">
        <v>819</v>
      </c>
      <c r="SCC97" s="975" t="s">
        <v>819</v>
      </c>
      <c r="SCD97" s="975" t="s">
        <v>819</v>
      </c>
      <c r="SCE97" s="975" t="s">
        <v>819</v>
      </c>
      <c r="SCF97" s="975" t="s">
        <v>819</v>
      </c>
      <c r="SCG97" s="975" t="s">
        <v>819</v>
      </c>
      <c r="SCH97" s="975" t="s">
        <v>819</v>
      </c>
      <c r="SCI97" s="975" t="s">
        <v>819</v>
      </c>
      <c r="SCJ97" s="975" t="s">
        <v>819</v>
      </c>
      <c r="SCK97" s="975" t="s">
        <v>819</v>
      </c>
      <c r="SCL97" s="975" t="s">
        <v>819</v>
      </c>
      <c r="SCM97" s="975" t="s">
        <v>819</v>
      </c>
      <c r="SCN97" s="975" t="s">
        <v>819</v>
      </c>
      <c r="SCO97" s="975" t="s">
        <v>819</v>
      </c>
      <c r="SCP97" s="975" t="s">
        <v>819</v>
      </c>
      <c r="SCQ97" s="975" t="s">
        <v>819</v>
      </c>
      <c r="SCR97" s="975" t="s">
        <v>819</v>
      </c>
      <c r="SCS97" s="975" t="s">
        <v>819</v>
      </c>
      <c r="SCT97" s="975" t="s">
        <v>819</v>
      </c>
      <c r="SCU97" s="975" t="s">
        <v>819</v>
      </c>
      <c r="SCV97" s="975" t="s">
        <v>819</v>
      </c>
      <c r="SCW97" s="975" t="s">
        <v>819</v>
      </c>
      <c r="SCX97" s="975" t="s">
        <v>819</v>
      </c>
      <c r="SCY97" s="975" t="s">
        <v>819</v>
      </c>
      <c r="SCZ97" s="975" t="s">
        <v>819</v>
      </c>
      <c r="SDA97" s="975" t="s">
        <v>819</v>
      </c>
      <c r="SDB97" s="975" t="s">
        <v>819</v>
      </c>
      <c r="SDC97" s="975" t="s">
        <v>819</v>
      </c>
      <c r="SDD97" s="975" t="s">
        <v>819</v>
      </c>
      <c r="SDE97" s="975" t="s">
        <v>819</v>
      </c>
      <c r="SDF97" s="975" t="s">
        <v>819</v>
      </c>
      <c r="SDG97" s="975" t="s">
        <v>819</v>
      </c>
      <c r="SDH97" s="975" t="s">
        <v>819</v>
      </c>
      <c r="SDI97" s="975" t="s">
        <v>819</v>
      </c>
      <c r="SDJ97" s="975" t="s">
        <v>819</v>
      </c>
      <c r="SDK97" s="975" t="s">
        <v>819</v>
      </c>
      <c r="SDL97" s="975" t="s">
        <v>819</v>
      </c>
      <c r="SDM97" s="975" t="s">
        <v>819</v>
      </c>
      <c r="SDN97" s="975" t="s">
        <v>819</v>
      </c>
      <c r="SDO97" s="975" t="s">
        <v>819</v>
      </c>
      <c r="SDP97" s="975" t="s">
        <v>819</v>
      </c>
      <c r="SDQ97" s="975" t="s">
        <v>819</v>
      </c>
      <c r="SDR97" s="975" t="s">
        <v>819</v>
      </c>
      <c r="SDS97" s="975" t="s">
        <v>819</v>
      </c>
      <c r="SDT97" s="975" t="s">
        <v>819</v>
      </c>
      <c r="SDU97" s="975" t="s">
        <v>819</v>
      </c>
      <c r="SDV97" s="975" t="s">
        <v>819</v>
      </c>
      <c r="SDW97" s="975" t="s">
        <v>819</v>
      </c>
      <c r="SDX97" s="975" t="s">
        <v>819</v>
      </c>
      <c r="SDY97" s="975" t="s">
        <v>819</v>
      </c>
      <c r="SDZ97" s="975" t="s">
        <v>819</v>
      </c>
      <c r="SEA97" s="975" t="s">
        <v>819</v>
      </c>
      <c r="SEB97" s="975" t="s">
        <v>819</v>
      </c>
      <c r="SEC97" s="975" t="s">
        <v>819</v>
      </c>
      <c r="SED97" s="975" t="s">
        <v>819</v>
      </c>
      <c r="SEE97" s="975" t="s">
        <v>819</v>
      </c>
      <c r="SEF97" s="975" t="s">
        <v>819</v>
      </c>
      <c r="SEG97" s="975" t="s">
        <v>819</v>
      </c>
      <c r="SEH97" s="975" t="s">
        <v>819</v>
      </c>
      <c r="SEI97" s="975" t="s">
        <v>819</v>
      </c>
      <c r="SEJ97" s="975" t="s">
        <v>819</v>
      </c>
      <c r="SEK97" s="975" t="s">
        <v>819</v>
      </c>
      <c r="SEL97" s="975" t="s">
        <v>819</v>
      </c>
      <c r="SEM97" s="975" t="s">
        <v>819</v>
      </c>
      <c r="SEN97" s="975" t="s">
        <v>819</v>
      </c>
      <c r="SEO97" s="975" t="s">
        <v>819</v>
      </c>
      <c r="SEP97" s="975" t="s">
        <v>819</v>
      </c>
      <c r="SEQ97" s="975" t="s">
        <v>819</v>
      </c>
      <c r="SER97" s="975" t="s">
        <v>819</v>
      </c>
      <c r="SES97" s="975" t="s">
        <v>819</v>
      </c>
      <c r="SET97" s="975" t="s">
        <v>819</v>
      </c>
      <c r="SEU97" s="975" t="s">
        <v>819</v>
      </c>
      <c r="SEV97" s="975" t="s">
        <v>819</v>
      </c>
      <c r="SEW97" s="975" t="s">
        <v>819</v>
      </c>
      <c r="SEX97" s="975" t="s">
        <v>819</v>
      </c>
      <c r="SEY97" s="975" t="s">
        <v>819</v>
      </c>
      <c r="SEZ97" s="975" t="s">
        <v>819</v>
      </c>
      <c r="SFA97" s="975" t="s">
        <v>819</v>
      </c>
      <c r="SFB97" s="975" t="s">
        <v>819</v>
      </c>
      <c r="SFC97" s="975" t="s">
        <v>819</v>
      </c>
      <c r="SFD97" s="975" t="s">
        <v>819</v>
      </c>
      <c r="SFE97" s="975" t="s">
        <v>819</v>
      </c>
      <c r="SFF97" s="975" t="s">
        <v>819</v>
      </c>
      <c r="SFG97" s="975" t="s">
        <v>819</v>
      </c>
      <c r="SFH97" s="975" t="s">
        <v>819</v>
      </c>
      <c r="SFI97" s="975" t="s">
        <v>819</v>
      </c>
      <c r="SFJ97" s="975" t="s">
        <v>819</v>
      </c>
      <c r="SFK97" s="975" t="s">
        <v>819</v>
      </c>
      <c r="SFL97" s="975" t="s">
        <v>819</v>
      </c>
      <c r="SFM97" s="975" t="s">
        <v>819</v>
      </c>
      <c r="SFN97" s="975" t="s">
        <v>819</v>
      </c>
      <c r="SFO97" s="975" t="s">
        <v>819</v>
      </c>
      <c r="SFP97" s="975" t="s">
        <v>819</v>
      </c>
      <c r="SFQ97" s="975" t="s">
        <v>819</v>
      </c>
      <c r="SFR97" s="975" t="s">
        <v>819</v>
      </c>
      <c r="SFS97" s="975" t="s">
        <v>819</v>
      </c>
      <c r="SFT97" s="975" t="s">
        <v>819</v>
      </c>
      <c r="SFU97" s="975" t="s">
        <v>819</v>
      </c>
      <c r="SFV97" s="975" t="s">
        <v>819</v>
      </c>
      <c r="SFW97" s="975" t="s">
        <v>819</v>
      </c>
      <c r="SFX97" s="975" t="s">
        <v>819</v>
      </c>
      <c r="SFY97" s="975" t="s">
        <v>819</v>
      </c>
      <c r="SFZ97" s="975" t="s">
        <v>819</v>
      </c>
      <c r="SGA97" s="975" t="s">
        <v>819</v>
      </c>
      <c r="SGB97" s="975" t="s">
        <v>819</v>
      </c>
      <c r="SGC97" s="975" t="s">
        <v>819</v>
      </c>
      <c r="SGD97" s="975" t="s">
        <v>819</v>
      </c>
      <c r="SGE97" s="975" t="s">
        <v>819</v>
      </c>
      <c r="SGF97" s="975" t="s">
        <v>819</v>
      </c>
      <c r="SGG97" s="975" t="s">
        <v>819</v>
      </c>
      <c r="SGH97" s="975" t="s">
        <v>819</v>
      </c>
      <c r="SGI97" s="975" t="s">
        <v>819</v>
      </c>
      <c r="SGJ97" s="975" t="s">
        <v>819</v>
      </c>
      <c r="SGK97" s="975" t="s">
        <v>819</v>
      </c>
      <c r="SGL97" s="975" t="s">
        <v>819</v>
      </c>
      <c r="SGM97" s="975" t="s">
        <v>819</v>
      </c>
      <c r="SGN97" s="975" t="s">
        <v>819</v>
      </c>
      <c r="SGO97" s="975" t="s">
        <v>819</v>
      </c>
      <c r="SGP97" s="975" t="s">
        <v>819</v>
      </c>
      <c r="SGQ97" s="975" t="s">
        <v>819</v>
      </c>
      <c r="SGR97" s="975" t="s">
        <v>819</v>
      </c>
      <c r="SGS97" s="975" t="s">
        <v>819</v>
      </c>
      <c r="SGT97" s="975" t="s">
        <v>819</v>
      </c>
      <c r="SGU97" s="975" t="s">
        <v>819</v>
      </c>
      <c r="SGV97" s="975" t="s">
        <v>819</v>
      </c>
      <c r="SGW97" s="975" t="s">
        <v>819</v>
      </c>
      <c r="SGX97" s="975" t="s">
        <v>819</v>
      </c>
      <c r="SGY97" s="975" t="s">
        <v>819</v>
      </c>
      <c r="SGZ97" s="975" t="s">
        <v>819</v>
      </c>
      <c r="SHA97" s="975" t="s">
        <v>819</v>
      </c>
      <c r="SHB97" s="975" t="s">
        <v>819</v>
      </c>
      <c r="SHC97" s="975" t="s">
        <v>819</v>
      </c>
      <c r="SHD97" s="975" t="s">
        <v>819</v>
      </c>
      <c r="SHE97" s="975" t="s">
        <v>819</v>
      </c>
      <c r="SHF97" s="975" t="s">
        <v>819</v>
      </c>
      <c r="SHG97" s="975" t="s">
        <v>819</v>
      </c>
      <c r="SHH97" s="975" t="s">
        <v>819</v>
      </c>
      <c r="SHI97" s="975" t="s">
        <v>819</v>
      </c>
      <c r="SHJ97" s="975" t="s">
        <v>819</v>
      </c>
      <c r="SHK97" s="975" t="s">
        <v>819</v>
      </c>
      <c r="SHL97" s="975" t="s">
        <v>819</v>
      </c>
      <c r="SHM97" s="975" t="s">
        <v>819</v>
      </c>
      <c r="SHN97" s="975" t="s">
        <v>819</v>
      </c>
      <c r="SHO97" s="975" t="s">
        <v>819</v>
      </c>
      <c r="SHP97" s="975" t="s">
        <v>819</v>
      </c>
      <c r="SHQ97" s="975" t="s">
        <v>819</v>
      </c>
      <c r="SHR97" s="975" t="s">
        <v>819</v>
      </c>
      <c r="SHS97" s="975" t="s">
        <v>819</v>
      </c>
      <c r="SHT97" s="975" t="s">
        <v>819</v>
      </c>
      <c r="SHU97" s="975" t="s">
        <v>819</v>
      </c>
      <c r="SHV97" s="975" t="s">
        <v>819</v>
      </c>
      <c r="SHW97" s="975" t="s">
        <v>819</v>
      </c>
      <c r="SHX97" s="975" t="s">
        <v>819</v>
      </c>
      <c r="SHY97" s="975" t="s">
        <v>819</v>
      </c>
      <c r="SHZ97" s="975" t="s">
        <v>819</v>
      </c>
      <c r="SIA97" s="975" t="s">
        <v>819</v>
      </c>
      <c r="SIB97" s="975" t="s">
        <v>819</v>
      </c>
      <c r="SIC97" s="975" t="s">
        <v>819</v>
      </c>
      <c r="SID97" s="975" t="s">
        <v>819</v>
      </c>
      <c r="SIE97" s="975" t="s">
        <v>819</v>
      </c>
      <c r="SIF97" s="975" t="s">
        <v>819</v>
      </c>
      <c r="SIG97" s="975" t="s">
        <v>819</v>
      </c>
      <c r="SIH97" s="975" t="s">
        <v>819</v>
      </c>
      <c r="SII97" s="975" t="s">
        <v>819</v>
      </c>
      <c r="SIJ97" s="975" t="s">
        <v>819</v>
      </c>
      <c r="SIK97" s="975" t="s">
        <v>819</v>
      </c>
      <c r="SIL97" s="975" t="s">
        <v>819</v>
      </c>
      <c r="SIM97" s="975" t="s">
        <v>819</v>
      </c>
      <c r="SIN97" s="975" t="s">
        <v>819</v>
      </c>
      <c r="SIO97" s="975" t="s">
        <v>819</v>
      </c>
      <c r="SIP97" s="975" t="s">
        <v>819</v>
      </c>
      <c r="SIQ97" s="975" t="s">
        <v>819</v>
      </c>
      <c r="SIR97" s="975" t="s">
        <v>819</v>
      </c>
      <c r="SIS97" s="975" t="s">
        <v>819</v>
      </c>
      <c r="SIT97" s="975" t="s">
        <v>819</v>
      </c>
      <c r="SIU97" s="975" t="s">
        <v>819</v>
      </c>
      <c r="SIV97" s="975" t="s">
        <v>819</v>
      </c>
      <c r="SIW97" s="975" t="s">
        <v>819</v>
      </c>
      <c r="SIX97" s="975" t="s">
        <v>819</v>
      </c>
      <c r="SIY97" s="975" t="s">
        <v>819</v>
      </c>
      <c r="SIZ97" s="975" t="s">
        <v>819</v>
      </c>
      <c r="SJA97" s="975" t="s">
        <v>819</v>
      </c>
      <c r="SJB97" s="975" t="s">
        <v>819</v>
      </c>
      <c r="SJC97" s="975" t="s">
        <v>819</v>
      </c>
      <c r="SJD97" s="975" t="s">
        <v>819</v>
      </c>
      <c r="SJE97" s="975" t="s">
        <v>819</v>
      </c>
      <c r="SJF97" s="975" t="s">
        <v>819</v>
      </c>
      <c r="SJG97" s="975" t="s">
        <v>819</v>
      </c>
      <c r="SJH97" s="975" t="s">
        <v>819</v>
      </c>
      <c r="SJI97" s="975" t="s">
        <v>819</v>
      </c>
      <c r="SJJ97" s="975" t="s">
        <v>819</v>
      </c>
      <c r="SJK97" s="975" t="s">
        <v>819</v>
      </c>
      <c r="SJL97" s="975" t="s">
        <v>819</v>
      </c>
      <c r="SJM97" s="975" t="s">
        <v>819</v>
      </c>
      <c r="SJN97" s="975" t="s">
        <v>819</v>
      </c>
      <c r="SJO97" s="975" t="s">
        <v>819</v>
      </c>
      <c r="SJP97" s="975" t="s">
        <v>819</v>
      </c>
      <c r="SJQ97" s="975" t="s">
        <v>819</v>
      </c>
      <c r="SJR97" s="975" t="s">
        <v>819</v>
      </c>
      <c r="SJS97" s="975" t="s">
        <v>819</v>
      </c>
      <c r="SJT97" s="975" t="s">
        <v>819</v>
      </c>
      <c r="SJU97" s="975" t="s">
        <v>819</v>
      </c>
      <c r="SJV97" s="975" t="s">
        <v>819</v>
      </c>
      <c r="SJW97" s="975" t="s">
        <v>819</v>
      </c>
      <c r="SJX97" s="975" t="s">
        <v>819</v>
      </c>
      <c r="SJY97" s="975" t="s">
        <v>819</v>
      </c>
      <c r="SJZ97" s="975" t="s">
        <v>819</v>
      </c>
      <c r="SKA97" s="975" t="s">
        <v>819</v>
      </c>
      <c r="SKB97" s="975" t="s">
        <v>819</v>
      </c>
      <c r="SKC97" s="975" t="s">
        <v>819</v>
      </c>
      <c r="SKD97" s="975" t="s">
        <v>819</v>
      </c>
      <c r="SKE97" s="975" t="s">
        <v>819</v>
      </c>
      <c r="SKF97" s="975" t="s">
        <v>819</v>
      </c>
      <c r="SKG97" s="975" t="s">
        <v>819</v>
      </c>
      <c r="SKH97" s="975" t="s">
        <v>819</v>
      </c>
      <c r="SKI97" s="975" t="s">
        <v>819</v>
      </c>
      <c r="SKJ97" s="975" t="s">
        <v>819</v>
      </c>
      <c r="SKK97" s="975" t="s">
        <v>819</v>
      </c>
      <c r="SKL97" s="975" t="s">
        <v>819</v>
      </c>
      <c r="SKM97" s="975" t="s">
        <v>819</v>
      </c>
      <c r="SKN97" s="975" t="s">
        <v>819</v>
      </c>
      <c r="SKO97" s="975" t="s">
        <v>819</v>
      </c>
      <c r="SKP97" s="975" t="s">
        <v>819</v>
      </c>
      <c r="SKQ97" s="975" t="s">
        <v>819</v>
      </c>
      <c r="SKR97" s="975" t="s">
        <v>819</v>
      </c>
      <c r="SKS97" s="975" t="s">
        <v>819</v>
      </c>
      <c r="SKT97" s="975" t="s">
        <v>819</v>
      </c>
      <c r="SKU97" s="975" t="s">
        <v>819</v>
      </c>
      <c r="SKV97" s="975" t="s">
        <v>819</v>
      </c>
      <c r="SKW97" s="975" t="s">
        <v>819</v>
      </c>
      <c r="SKX97" s="975" t="s">
        <v>819</v>
      </c>
      <c r="SKY97" s="975" t="s">
        <v>819</v>
      </c>
      <c r="SKZ97" s="975" t="s">
        <v>819</v>
      </c>
      <c r="SLA97" s="975" t="s">
        <v>819</v>
      </c>
      <c r="SLB97" s="975" t="s">
        <v>819</v>
      </c>
      <c r="SLC97" s="975" t="s">
        <v>819</v>
      </c>
      <c r="SLD97" s="975" t="s">
        <v>819</v>
      </c>
      <c r="SLE97" s="975" t="s">
        <v>819</v>
      </c>
      <c r="SLF97" s="975" t="s">
        <v>819</v>
      </c>
      <c r="SLG97" s="975" t="s">
        <v>819</v>
      </c>
      <c r="SLH97" s="975" t="s">
        <v>819</v>
      </c>
      <c r="SLI97" s="975" t="s">
        <v>819</v>
      </c>
      <c r="SLJ97" s="975" t="s">
        <v>819</v>
      </c>
      <c r="SLK97" s="975" t="s">
        <v>819</v>
      </c>
      <c r="SLL97" s="975" t="s">
        <v>819</v>
      </c>
      <c r="SLM97" s="975" t="s">
        <v>819</v>
      </c>
      <c r="SLN97" s="975" t="s">
        <v>819</v>
      </c>
      <c r="SLO97" s="975" t="s">
        <v>819</v>
      </c>
      <c r="SLP97" s="975" t="s">
        <v>819</v>
      </c>
      <c r="SLQ97" s="975" t="s">
        <v>819</v>
      </c>
      <c r="SLR97" s="975" t="s">
        <v>819</v>
      </c>
      <c r="SLS97" s="975" t="s">
        <v>819</v>
      </c>
      <c r="SLT97" s="975" t="s">
        <v>819</v>
      </c>
      <c r="SLU97" s="975" t="s">
        <v>819</v>
      </c>
      <c r="SLV97" s="975" t="s">
        <v>819</v>
      </c>
      <c r="SLW97" s="975" t="s">
        <v>819</v>
      </c>
      <c r="SLX97" s="975" t="s">
        <v>819</v>
      </c>
      <c r="SLY97" s="975" t="s">
        <v>819</v>
      </c>
      <c r="SLZ97" s="975" t="s">
        <v>819</v>
      </c>
      <c r="SMA97" s="975" t="s">
        <v>819</v>
      </c>
      <c r="SMB97" s="975" t="s">
        <v>819</v>
      </c>
      <c r="SMC97" s="975" t="s">
        <v>819</v>
      </c>
      <c r="SMD97" s="975" t="s">
        <v>819</v>
      </c>
      <c r="SME97" s="975" t="s">
        <v>819</v>
      </c>
      <c r="SMF97" s="975" t="s">
        <v>819</v>
      </c>
      <c r="SMG97" s="975" t="s">
        <v>819</v>
      </c>
      <c r="SMH97" s="975" t="s">
        <v>819</v>
      </c>
      <c r="SMI97" s="975" t="s">
        <v>819</v>
      </c>
      <c r="SMJ97" s="975" t="s">
        <v>819</v>
      </c>
      <c r="SMK97" s="975" t="s">
        <v>819</v>
      </c>
      <c r="SML97" s="975" t="s">
        <v>819</v>
      </c>
      <c r="SMM97" s="975" t="s">
        <v>819</v>
      </c>
      <c r="SMN97" s="975" t="s">
        <v>819</v>
      </c>
      <c r="SMO97" s="975" t="s">
        <v>819</v>
      </c>
      <c r="SMP97" s="975" t="s">
        <v>819</v>
      </c>
      <c r="SMQ97" s="975" t="s">
        <v>819</v>
      </c>
      <c r="SMR97" s="975" t="s">
        <v>819</v>
      </c>
      <c r="SMS97" s="975" t="s">
        <v>819</v>
      </c>
      <c r="SMT97" s="975" t="s">
        <v>819</v>
      </c>
      <c r="SMU97" s="975" t="s">
        <v>819</v>
      </c>
      <c r="SMV97" s="975" t="s">
        <v>819</v>
      </c>
      <c r="SMW97" s="975" t="s">
        <v>819</v>
      </c>
      <c r="SMX97" s="975" t="s">
        <v>819</v>
      </c>
      <c r="SMY97" s="975" t="s">
        <v>819</v>
      </c>
      <c r="SMZ97" s="975" t="s">
        <v>819</v>
      </c>
      <c r="SNA97" s="975" t="s">
        <v>819</v>
      </c>
      <c r="SNB97" s="975" t="s">
        <v>819</v>
      </c>
      <c r="SNC97" s="975" t="s">
        <v>819</v>
      </c>
      <c r="SND97" s="975" t="s">
        <v>819</v>
      </c>
      <c r="SNE97" s="975" t="s">
        <v>819</v>
      </c>
      <c r="SNF97" s="975" t="s">
        <v>819</v>
      </c>
      <c r="SNG97" s="975" t="s">
        <v>819</v>
      </c>
      <c r="SNH97" s="975" t="s">
        <v>819</v>
      </c>
      <c r="SNI97" s="975" t="s">
        <v>819</v>
      </c>
      <c r="SNJ97" s="975" t="s">
        <v>819</v>
      </c>
      <c r="SNK97" s="975" t="s">
        <v>819</v>
      </c>
      <c r="SNL97" s="975" t="s">
        <v>819</v>
      </c>
      <c r="SNM97" s="975" t="s">
        <v>819</v>
      </c>
      <c r="SNN97" s="975" t="s">
        <v>819</v>
      </c>
      <c r="SNO97" s="975" t="s">
        <v>819</v>
      </c>
      <c r="SNP97" s="975" t="s">
        <v>819</v>
      </c>
      <c r="SNQ97" s="975" t="s">
        <v>819</v>
      </c>
      <c r="SNR97" s="975" t="s">
        <v>819</v>
      </c>
      <c r="SNS97" s="975" t="s">
        <v>819</v>
      </c>
      <c r="SNT97" s="975" t="s">
        <v>819</v>
      </c>
      <c r="SNU97" s="975" t="s">
        <v>819</v>
      </c>
      <c r="SNV97" s="975" t="s">
        <v>819</v>
      </c>
      <c r="SNW97" s="975" t="s">
        <v>819</v>
      </c>
      <c r="SNX97" s="975" t="s">
        <v>819</v>
      </c>
      <c r="SNY97" s="975" t="s">
        <v>819</v>
      </c>
      <c r="SNZ97" s="975" t="s">
        <v>819</v>
      </c>
      <c r="SOA97" s="975" t="s">
        <v>819</v>
      </c>
      <c r="SOB97" s="975" t="s">
        <v>819</v>
      </c>
      <c r="SOC97" s="975" t="s">
        <v>819</v>
      </c>
      <c r="SOD97" s="975" t="s">
        <v>819</v>
      </c>
      <c r="SOE97" s="975" t="s">
        <v>819</v>
      </c>
      <c r="SOF97" s="975" t="s">
        <v>819</v>
      </c>
      <c r="SOG97" s="975" t="s">
        <v>819</v>
      </c>
      <c r="SOH97" s="975" t="s">
        <v>819</v>
      </c>
      <c r="SOI97" s="975" t="s">
        <v>819</v>
      </c>
      <c r="SOJ97" s="975" t="s">
        <v>819</v>
      </c>
      <c r="SOK97" s="975" t="s">
        <v>819</v>
      </c>
      <c r="SOL97" s="975" t="s">
        <v>819</v>
      </c>
      <c r="SOM97" s="975" t="s">
        <v>819</v>
      </c>
      <c r="SON97" s="975" t="s">
        <v>819</v>
      </c>
      <c r="SOO97" s="975" t="s">
        <v>819</v>
      </c>
      <c r="SOP97" s="975" t="s">
        <v>819</v>
      </c>
      <c r="SOQ97" s="975" t="s">
        <v>819</v>
      </c>
      <c r="SOR97" s="975" t="s">
        <v>819</v>
      </c>
      <c r="SOS97" s="975" t="s">
        <v>819</v>
      </c>
      <c r="SOT97" s="975" t="s">
        <v>819</v>
      </c>
      <c r="SOU97" s="975" t="s">
        <v>819</v>
      </c>
      <c r="SOV97" s="975" t="s">
        <v>819</v>
      </c>
      <c r="SOW97" s="975" t="s">
        <v>819</v>
      </c>
      <c r="SOX97" s="975" t="s">
        <v>819</v>
      </c>
      <c r="SOY97" s="975" t="s">
        <v>819</v>
      </c>
      <c r="SOZ97" s="975" t="s">
        <v>819</v>
      </c>
      <c r="SPA97" s="975" t="s">
        <v>819</v>
      </c>
      <c r="SPB97" s="975" t="s">
        <v>819</v>
      </c>
      <c r="SPC97" s="975" t="s">
        <v>819</v>
      </c>
      <c r="SPD97" s="975" t="s">
        <v>819</v>
      </c>
      <c r="SPE97" s="975" t="s">
        <v>819</v>
      </c>
      <c r="SPF97" s="975" t="s">
        <v>819</v>
      </c>
      <c r="SPG97" s="975" t="s">
        <v>819</v>
      </c>
      <c r="SPH97" s="975" t="s">
        <v>819</v>
      </c>
      <c r="SPI97" s="975" t="s">
        <v>819</v>
      </c>
      <c r="SPJ97" s="975" t="s">
        <v>819</v>
      </c>
      <c r="SPK97" s="975" t="s">
        <v>819</v>
      </c>
      <c r="SPL97" s="975" t="s">
        <v>819</v>
      </c>
      <c r="SPM97" s="975" t="s">
        <v>819</v>
      </c>
      <c r="SPN97" s="975" t="s">
        <v>819</v>
      </c>
      <c r="SPO97" s="975" t="s">
        <v>819</v>
      </c>
      <c r="SPP97" s="975" t="s">
        <v>819</v>
      </c>
      <c r="SPQ97" s="975" t="s">
        <v>819</v>
      </c>
      <c r="SPR97" s="975" t="s">
        <v>819</v>
      </c>
      <c r="SPS97" s="975" t="s">
        <v>819</v>
      </c>
      <c r="SPT97" s="975" t="s">
        <v>819</v>
      </c>
      <c r="SPU97" s="975" t="s">
        <v>819</v>
      </c>
      <c r="SPV97" s="975" t="s">
        <v>819</v>
      </c>
      <c r="SPW97" s="975" t="s">
        <v>819</v>
      </c>
      <c r="SPX97" s="975" t="s">
        <v>819</v>
      </c>
      <c r="SPY97" s="975" t="s">
        <v>819</v>
      </c>
      <c r="SPZ97" s="975" t="s">
        <v>819</v>
      </c>
      <c r="SQA97" s="975" t="s">
        <v>819</v>
      </c>
      <c r="SQB97" s="975" t="s">
        <v>819</v>
      </c>
      <c r="SQC97" s="975" t="s">
        <v>819</v>
      </c>
      <c r="SQD97" s="975" t="s">
        <v>819</v>
      </c>
      <c r="SQE97" s="975" t="s">
        <v>819</v>
      </c>
      <c r="SQF97" s="975" t="s">
        <v>819</v>
      </c>
      <c r="SQG97" s="975" t="s">
        <v>819</v>
      </c>
      <c r="SQH97" s="975" t="s">
        <v>819</v>
      </c>
      <c r="SQI97" s="975" t="s">
        <v>819</v>
      </c>
      <c r="SQJ97" s="975" t="s">
        <v>819</v>
      </c>
      <c r="SQK97" s="975" t="s">
        <v>819</v>
      </c>
      <c r="SQL97" s="975" t="s">
        <v>819</v>
      </c>
      <c r="SQM97" s="975" t="s">
        <v>819</v>
      </c>
      <c r="SQN97" s="975" t="s">
        <v>819</v>
      </c>
      <c r="SQO97" s="975" t="s">
        <v>819</v>
      </c>
      <c r="SQP97" s="975" t="s">
        <v>819</v>
      </c>
      <c r="SQQ97" s="975" t="s">
        <v>819</v>
      </c>
      <c r="SQR97" s="975" t="s">
        <v>819</v>
      </c>
      <c r="SQS97" s="975" t="s">
        <v>819</v>
      </c>
      <c r="SQT97" s="975" t="s">
        <v>819</v>
      </c>
      <c r="SQU97" s="975" t="s">
        <v>819</v>
      </c>
      <c r="SQV97" s="975" t="s">
        <v>819</v>
      </c>
      <c r="SQW97" s="975" t="s">
        <v>819</v>
      </c>
      <c r="SQX97" s="975" t="s">
        <v>819</v>
      </c>
      <c r="SQY97" s="975" t="s">
        <v>819</v>
      </c>
      <c r="SQZ97" s="975" t="s">
        <v>819</v>
      </c>
      <c r="SRA97" s="975" t="s">
        <v>819</v>
      </c>
      <c r="SRB97" s="975" t="s">
        <v>819</v>
      </c>
      <c r="SRC97" s="975" t="s">
        <v>819</v>
      </c>
      <c r="SRD97" s="975" t="s">
        <v>819</v>
      </c>
      <c r="SRE97" s="975" t="s">
        <v>819</v>
      </c>
      <c r="SRF97" s="975" t="s">
        <v>819</v>
      </c>
      <c r="SRG97" s="975" t="s">
        <v>819</v>
      </c>
      <c r="SRH97" s="975" t="s">
        <v>819</v>
      </c>
      <c r="SRI97" s="975" t="s">
        <v>819</v>
      </c>
      <c r="SRJ97" s="975" t="s">
        <v>819</v>
      </c>
      <c r="SRK97" s="975" t="s">
        <v>819</v>
      </c>
      <c r="SRL97" s="975" t="s">
        <v>819</v>
      </c>
      <c r="SRM97" s="975" t="s">
        <v>819</v>
      </c>
      <c r="SRN97" s="975" t="s">
        <v>819</v>
      </c>
      <c r="SRO97" s="975" t="s">
        <v>819</v>
      </c>
      <c r="SRP97" s="975" t="s">
        <v>819</v>
      </c>
      <c r="SRQ97" s="975" t="s">
        <v>819</v>
      </c>
      <c r="SRR97" s="975" t="s">
        <v>819</v>
      </c>
      <c r="SRS97" s="975" t="s">
        <v>819</v>
      </c>
      <c r="SRT97" s="975" t="s">
        <v>819</v>
      </c>
      <c r="SRU97" s="975" t="s">
        <v>819</v>
      </c>
      <c r="SRV97" s="975" t="s">
        <v>819</v>
      </c>
      <c r="SRW97" s="975" t="s">
        <v>819</v>
      </c>
      <c r="SRX97" s="975" t="s">
        <v>819</v>
      </c>
      <c r="SRY97" s="975" t="s">
        <v>819</v>
      </c>
      <c r="SRZ97" s="975" t="s">
        <v>819</v>
      </c>
      <c r="SSA97" s="975" t="s">
        <v>819</v>
      </c>
      <c r="SSB97" s="975" t="s">
        <v>819</v>
      </c>
      <c r="SSC97" s="975" t="s">
        <v>819</v>
      </c>
      <c r="SSD97" s="975" t="s">
        <v>819</v>
      </c>
      <c r="SSE97" s="975" t="s">
        <v>819</v>
      </c>
      <c r="SSF97" s="975" t="s">
        <v>819</v>
      </c>
      <c r="SSG97" s="975" t="s">
        <v>819</v>
      </c>
      <c r="SSH97" s="975" t="s">
        <v>819</v>
      </c>
      <c r="SSI97" s="975" t="s">
        <v>819</v>
      </c>
      <c r="SSJ97" s="975" t="s">
        <v>819</v>
      </c>
      <c r="SSK97" s="975" t="s">
        <v>819</v>
      </c>
      <c r="SSL97" s="975" t="s">
        <v>819</v>
      </c>
      <c r="SSM97" s="975" t="s">
        <v>819</v>
      </c>
      <c r="SSN97" s="975" t="s">
        <v>819</v>
      </c>
      <c r="SSO97" s="975" t="s">
        <v>819</v>
      </c>
      <c r="SSP97" s="975" t="s">
        <v>819</v>
      </c>
      <c r="SSQ97" s="975" t="s">
        <v>819</v>
      </c>
      <c r="SSR97" s="975" t="s">
        <v>819</v>
      </c>
      <c r="SSS97" s="975" t="s">
        <v>819</v>
      </c>
      <c r="SST97" s="975" t="s">
        <v>819</v>
      </c>
      <c r="SSU97" s="975" t="s">
        <v>819</v>
      </c>
      <c r="SSV97" s="975" t="s">
        <v>819</v>
      </c>
      <c r="SSW97" s="975" t="s">
        <v>819</v>
      </c>
      <c r="SSX97" s="975" t="s">
        <v>819</v>
      </c>
      <c r="SSY97" s="975" t="s">
        <v>819</v>
      </c>
      <c r="SSZ97" s="975" t="s">
        <v>819</v>
      </c>
      <c r="STA97" s="975" t="s">
        <v>819</v>
      </c>
      <c r="STB97" s="975" t="s">
        <v>819</v>
      </c>
      <c r="STC97" s="975" t="s">
        <v>819</v>
      </c>
      <c r="STD97" s="975" t="s">
        <v>819</v>
      </c>
      <c r="STE97" s="975" t="s">
        <v>819</v>
      </c>
      <c r="STF97" s="975" t="s">
        <v>819</v>
      </c>
      <c r="STG97" s="975" t="s">
        <v>819</v>
      </c>
      <c r="STH97" s="975" t="s">
        <v>819</v>
      </c>
      <c r="STI97" s="975" t="s">
        <v>819</v>
      </c>
      <c r="STJ97" s="975" t="s">
        <v>819</v>
      </c>
      <c r="STK97" s="975" t="s">
        <v>819</v>
      </c>
      <c r="STL97" s="975" t="s">
        <v>819</v>
      </c>
      <c r="STM97" s="975" t="s">
        <v>819</v>
      </c>
      <c r="STN97" s="975" t="s">
        <v>819</v>
      </c>
      <c r="STO97" s="975" t="s">
        <v>819</v>
      </c>
      <c r="STP97" s="975" t="s">
        <v>819</v>
      </c>
      <c r="STQ97" s="975" t="s">
        <v>819</v>
      </c>
      <c r="STR97" s="975" t="s">
        <v>819</v>
      </c>
      <c r="STS97" s="975" t="s">
        <v>819</v>
      </c>
      <c r="STT97" s="975" t="s">
        <v>819</v>
      </c>
      <c r="STU97" s="975" t="s">
        <v>819</v>
      </c>
      <c r="STV97" s="975" t="s">
        <v>819</v>
      </c>
      <c r="STW97" s="975" t="s">
        <v>819</v>
      </c>
      <c r="STX97" s="975" t="s">
        <v>819</v>
      </c>
      <c r="STY97" s="975" t="s">
        <v>819</v>
      </c>
      <c r="STZ97" s="975" t="s">
        <v>819</v>
      </c>
      <c r="SUA97" s="975" t="s">
        <v>819</v>
      </c>
      <c r="SUB97" s="975" t="s">
        <v>819</v>
      </c>
      <c r="SUC97" s="975" t="s">
        <v>819</v>
      </c>
      <c r="SUD97" s="975" t="s">
        <v>819</v>
      </c>
      <c r="SUE97" s="975" t="s">
        <v>819</v>
      </c>
      <c r="SUF97" s="975" t="s">
        <v>819</v>
      </c>
      <c r="SUG97" s="975" t="s">
        <v>819</v>
      </c>
      <c r="SUH97" s="975" t="s">
        <v>819</v>
      </c>
      <c r="SUI97" s="975" t="s">
        <v>819</v>
      </c>
      <c r="SUJ97" s="975" t="s">
        <v>819</v>
      </c>
      <c r="SUK97" s="975" t="s">
        <v>819</v>
      </c>
      <c r="SUL97" s="975" t="s">
        <v>819</v>
      </c>
      <c r="SUM97" s="975" t="s">
        <v>819</v>
      </c>
      <c r="SUN97" s="975" t="s">
        <v>819</v>
      </c>
      <c r="SUO97" s="975" t="s">
        <v>819</v>
      </c>
      <c r="SUP97" s="975" t="s">
        <v>819</v>
      </c>
      <c r="SUQ97" s="975" t="s">
        <v>819</v>
      </c>
      <c r="SUR97" s="975" t="s">
        <v>819</v>
      </c>
      <c r="SUS97" s="975" t="s">
        <v>819</v>
      </c>
      <c r="SUT97" s="975" t="s">
        <v>819</v>
      </c>
      <c r="SUU97" s="975" t="s">
        <v>819</v>
      </c>
      <c r="SUV97" s="975" t="s">
        <v>819</v>
      </c>
      <c r="SUW97" s="975" t="s">
        <v>819</v>
      </c>
      <c r="SUX97" s="975" t="s">
        <v>819</v>
      </c>
      <c r="SUY97" s="975" t="s">
        <v>819</v>
      </c>
      <c r="SUZ97" s="975" t="s">
        <v>819</v>
      </c>
      <c r="SVA97" s="975" t="s">
        <v>819</v>
      </c>
      <c r="SVB97" s="975" t="s">
        <v>819</v>
      </c>
      <c r="SVC97" s="975" t="s">
        <v>819</v>
      </c>
      <c r="SVD97" s="975" t="s">
        <v>819</v>
      </c>
      <c r="SVE97" s="975" t="s">
        <v>819</v>
      </c>
      <c r="SVF97" s="975" t="s">
        <v>819</v>
      </c>
      <c r="SVG97" s="975" t="s">
        <v>819</v>
      </c>
      <c r="SVH97" s="975" t="s">
        <v>819</v>
      </c>
      <c r="SVI97" s="975" t="s">
        <v>819</v>
      </c>
      <c r="SVJ97" s="975" t="s">
        <v>819</v>
      </c>
      <c r="SVK97" s="975" t="s">
        <v>819</v>
      </c>
      <c r="SVL97" s="975" t="s">
        <v>819</v>
      </c>
      <c r="SVM97" s="975" t="s">
        <v>819</v>
      </c>
      <c r="SVN97" s="975" t="s">
        <v>819</v>
      </c>
      <c r="SVO97" s="975" t="s">
        <v>819</v>
      </c>
      <c r="SVP97" s="975" t="s">
        <v>819</v>
      </c>
      <c r="SVQ97" s="975" t="s">
        <v>819</v>
      </c>
      <c r="SVR97" s="975" t="s">
        <v>819</v>
      </c>
      <c r="SVS97" s="975" t="s">
        <v>819</v>
      </c>
      <c r="SVT97" s="975" t="s">
        <v>819</v>
      </c>
      <c r="SVU97" s="975" t="s">
        <v>819</v>
      </c>
      <c r="SVV97" s="975" t="s">
        <v>819</v>
      </c>
      <c r="SVW97" s="975" t="s">
        <v>819</v>
      </c>
      <c r="SVX97" s="975" t="s">
        <v>819</v>
      </c>
      <c r="SVY97" s="975" t="s">
        <v>819</v>
      </c>
      <c r="SVZ97" s="975" t="s">
        <v>819</v>
      </c>
      <c r="SWA97" s="975" t="s">
        <v>819</v>
      </c>
      <c r="SWB97" s="975" t="s">
        <v>819</v>
      </c>
      <c r="SWC97" s="975" t="s">
        <v>819</v>
      </c>
      <c r="SWD97" s="975" t="s">
        <v>819</v>
      </c>
      <c r="SWE97" s="975" t="s">
        <v>819</v>
      </c>
      <c r="SWF97" s="975" t="s">
        <v>819</v>
      </c>
      <c r="SWG97" s="975" t="s">
        <v>819</v>
      </c>
      <c r="SWH97" s="975" t="s">
        <v>819</v>
      </c>
      <c r="SWI97" s="975" t="s">
        <v>819</v>
      </c>
      <c r="SWJ97" s="975" t="s">
        <v>819</v>
      </c>
      <c r="SWK97" s="975" t="s">
        <v>819</v>
      </c>
      <c r="SWL97" s="975" t="s">
        <v>819</v>
      </c>
      <c r="SWM97" s="975" t="s">
        <v>819</v>
      </c>
      <c r="SWN97" s="975" t="s">
        <v>819</v>
      </c>
      <c r="SWO97" s="975" t="s">
        <v>819</v>
      </c>
      <c r="SWP97" s="975" t="s">
        <v>819</v>
      </c>
      <c r="SWQ97" s="975" t="s">
        <v>819</v>
      </c>
      <c r="SWR97" s="975" t="s">
        <v>819</v>
      </c>
      <c r="SWS97" s="975" t="s">
        <v>819</v>
      </c>
      <c r="SWT97" s="975" t="s">
        <v>819</v>
      </c>
      <c r="SWU97" s="975" t="s">
        <v>819</v>
      </c>
      <c r="SWV97" s="975" t="s">
        <v>819</v>
      </c>
      <c r="SWW97" s="975" t="s">
        <v>819</v>
      </c>
      <c r="SWX97" s="975" t="s">
        <v>819</v>
      </c>
      <c r="SWY97" s="975" t="s">
        <v>819</v>
      </c>
      <c r="SWZ97" s="975" t="s">
        <v>819</v>
      </c>
      <c r="SXA97" s="975" t="s">
        <v>819</v>
      </c>
      <c r="SXB97" s="975" t="s">
        <v>819</v>
      </c>
      <c r="SXC97" s="975" t="s">
        <v>819</v>
      </c>
      <c r="SXD97" s="975" t="s">
        <v>819</v>
      </c>
      <c r="SXE97" s="975" t="s">
        <v>819</v>
      </c>
      <c r="SXF97" s="975" t="s">
        <v>819</v>
      </c>
      <c r="SXG97" s="975" t="s">
        <v>819</v>
      </c>
      <c r="SXH97" s="975" t="s">
        <v>819</v>
      </c>
      <c r="SXI97" s="975" t="s">
        <v>819</v>
      </c>
      <c r="SXJ97" s="975" t="s">
        <v>819</v>
      </c>
      <c r="SXK97" s="975" t="s">
        <v>819</v>
      </c>
      <c r="SXL97" s="975" t="s">
        <v>819</v>
      </c>
      <c r="SXM97" s="975" t="s">
        <v>819</v>
      </c>
      <c r="SXN97" s="975" t="s">
        <v>819</v>
      </c>
      <c r="SXO97" s="975" t="s">
        <v>819</v>
      </c>
      <c r="SXP97" s="975" t="s">
        <v>819</v>
      </c>
      <c r="SXQ97" s="975" t="s">
        <v>819</v>
      </c>
      <c r="SXR97" s="975" t="s">
        <v>819</v>
      </c>
      <c r="SXS97" s="975" t="s">
        <v>819</v>
      </c>
      <c r="SXT97" s="975" t="s">
        <v>819</v>
      </c>
      <c r="SXU97" s="975" t="s">
        <v>819</v>
      </c>
      <c r="SXV97" s="975" t="s">
        <v>819</v>
      </c>
      <c r="SXW97" s="975" t="s">
        <v>819</v>
      </c>
      <c r="SXX97" s="975" t="s">
        <v>819</v>
      </c>
      <c r="SXY97" s="975" t="s">
        <v>819</v>
      </c>
      <c r="SXZ97" s="975" t="s">
        <v>819</v>
      </c>
      <c r="SYA97" s="975" t="s">
        <v>819</v>
      </c>
      <c r="SYB97" s="975" t="s">
        <v>819</v>
      </c>
      <c r="SYC97" s="975" t="s">
        <v>819</v>
      </c>
      <c r="SYD97" s="975" t="s">
        <v>819</v>
      </c>
      <c r="SYE97" s="975" t="s">
        <v>819</v>
      </c>
      <c r="SYF97" s="975" t="s">
        <v>819</v>
      </c>
      <c r="SYG97" s="975" t="s">
        <v>819</v>
      </c>
      <c r="SYH97" s="975" t="s">
        <v>819</v>
      </c>
      <c r="SYI97" s="975" t="s">
        <v>819</v>
      </c>
      <c r="SYJ97" s="975" t="s">
        <v>819</v>
      </c>
      <c r="SYK97" s="975" t="s">
        <v>819</v>
      </c>
      <c r="SYL97" s="975" t="s">
        <v>819</v>
      </c>
      <c r="SYM97" s="975" t="s">
        <v>819</v>
      </c>
      <c r="SYN97" s="975" t="s">
        <v>819</v>
      </c>
      <c r="SYO97" s="975" t="s">
        <v>819</v>
      </c>
      <c r="SYP97" s="975" t="s">
        <v>819</v>
      </c>
      <c r="SYQ97" s="975" t="s">
        <v>819</v>
      </c>
      <c r="SYR97" s="975" t="s">
        <v>819</v>
      </c>
      <c r="SYS97" s="975" t="s">
        <v>819</v>
      </c>
      <c r="SYT97" s="975" t="s">
        <v>819</v>
      </c>
      <c r="SYU97" s="975" t="s">
        <v>819</v>
      </c>
      <c r="SYV97" s="975" t="s">
        <v>819</v>
      </c>
      <c r="SYW97" s="975" t="s">
        <v>819</v>
      </c>
      <c r="SYX97" s="975" t="s">
        <v>819</v>
      </c>
      <c r="SYY97" s="975" t="s">
        <v>819</v>
      </c>
      <c r="SYZ97" s="975" t="s">
        <v>819</v>
      </c>
      <c r="SZA97" s="975" t="s">
        <v>819</v>
      </c>
      <c r="SZB97" s="975" t="s">
        <v>819</v>
      </c>
      <c r="SZC97" s="975" t="s">
        <v>819</v>
      </c>
      <c r="SZD97" s="975" t="s">
        <v>819</v>
      </c>
      <c r="SZE97" s="975" t="s">
        <v>819</v>
      </c>
      <c r="SZF97" s="975" t="s">
        <v>819</v>
      </c>
      <c r="SZG97" s="975" t="s">
        <v>819</v>
      </c>
      <c r="SZH97" s="975" t="s">
        <v>819</v>
      </c>
      <c r="SZI97" s="975" t="s">
        <v>819</v>
      </c>
      <c r="SZJ97" s="975" t="s">
        <v>819</v>
      </c>
      <c r="SZK97" s="975" t="s">
        <v>819</v>
      </c>
      <c r="SZL97" s="975" t="s">
        <v>819</v>
      </c>
      <c r="SZM97" s="975" t="s">
        <v>819</v>
      </c>
      <c r="SZN97" s="975" t="s">
        <v>819</v>
      </c>
      <c r="SZO97" s="975" t="s">
        <v>819</v>
      </c>
      <c r="SZP97" s="975" t="s">
        <v>819</v>
      </c>
      <c r="SZQ97" s="975" t="s">
        <v>819</v>
      </c>
      <c r="SZR97" s="975" t="s">
        <v>819</v>
      </c>
      <c r="SZS97" s="975" t="s">
        <v>819</v>
      </c>
      <c r="SZT97" s="975" t="s">
        <v>819</v>
      </c>
      <c r="SZU97" s="975" t="s">
        <v>819</v>
      </c>
      <c r="SZV97" s="975" t="s">
        <v>819</v>
      </c>
      <c r="SZW97" s="975" t="s">
        <v>819</v>
      </c>
      <c r="SZX97" s="975" t="s">
        <v>819</v>
      </c>
      <c r="SZY97" s="975" t="s">
        <v>819</v>
      </c>
      <c r="SZZ97" s="975" t="s">
        <v>819</v>
      </c>
      <c r="TAA97" s="975" t="s">
        <v>819</v>
      </c>
      <c r="TAB97" s="975" t="s">
        <v>819</v>
      </c>
      <c r="TAC97" s="975" t="s">
        <v>819</v>
      </c>
      <c r="TAD97" s="975" t="s">
        <v>819</v>
      </c>
      <c r="TAE97" s="975" t="s">
        <v>819</v>
      </c>
      <c r="TAF97" s="975" t="s">
        <v>819</v>
      </c>
      <c r="TAG97" s="975" t="s">
        <v>819</v>
      </c>
      <c r="TAH97" s="975" t="s">
        <v>819</v>
      </c>
      <c r="TAI97" s="975" t="s">
        <v>819</v>
      </c>
      <c r="TAJ97" s="975" t="s">
        <v>819</v>
      </c>
      <c r="TAK97" s="975" t="s">
        <v>819</v>
      </c>
      <c r="TAL97" s="975" t="s">
        <v>819</v>
      </c>
      <c r="TAM97" s="975" t="s">
        <v>819</v>
      </c>
      <c r="TAN97" s="975" t="s">
        <v>819</v>
      </c>
      <c r="TAO97" s="975" t="s">
        <v>819</v>
      </c>
      <c r="TAP97" s="975" t="s">
        <v>819</v>
      </c>
      <c r="TAQ97" s="975" t="s">
        <v>819</v>
      </c>
      <c r="TAR97" s="975" t="s">
        <v>819</v>
      </c>
      <c r="TAS97" s="975" t="s">
        <v>819</v>
      </c>
      <c r="TAT97" s="975" t="s">
        <v>819</v>
      </c>
      <c r="TAU97" s="975" t="s">
        <v>819</v>
      </c>
      <c r="TAV97" s="975" t="s">
        <v>819</v>
      </c>
      <c r="TAW97" s="975" t="s">
        <v>819</v>
      </c>
      <c r="TAX97" s="975" t="s">
        <v>819</v>
      </c>
      <c r="TAY97" s="975" t="s">
        <v>819</v>
      </c>
      <c r="TAZ97" s="975" t="s">
        <v>819</v>
      </c>
      <c r="TBA97" s="975" t="s">
        <v>819</v>
      </c>
      <c r="TBB97" s="975" t="s">
        <v>819</v>
      </c>
      <c r="TBC97" s="975" t="s">
        <v>819</v>
      </c>
      <c r="TBD97" s="975" t="s">
        <v>819</v>
      </c>
      <c r="TBE97" s="975" t="s">
        <v>819</v>
      </c>
      <c r="TBF97" s="975" t="s">
        <v>819</v>
      </c>
      <c r="TBG97" s="975" t="s">
        <v>819</v>
      </c>
      <c r="TBH97" s="975" t="s">
        <v>819</v>
      </c>
      <c r="TBI97" s="975" t="s">
        <v>819</v>
      </c>
      <c r="TBJ97" s="975" t="s">
        <v>819</v>
      </c>
      <c r="TBK97" s="975" t="s">
        <v>819</v>
      </c>
      <c r="TBL97" s="975" t="s">
        <v>819</v>
      </c>
      <c r="TBM97" s="975" t="s">
        <v>819</v>
      </c>
      <c r="TBN97" s="975" t="s">
        <v>819</v>
      </c>
      <c r="TBO97" s="975" t="s">
        <v>819</v>
      </c>
      <c r="TBP97" s="975" t="s">
        <v>819</v>
      </c>
      <c r="TBQ97" s="975" t="s">
        <v>819</v>
      </c>
      <c r="TBR97" s="975" t="s">
        <v>819</v>
      </c>
      <c r="TBS97" s="975" t="s">
        <v>819</v>
      </c>
      <c r="TBT97" s="975" t="s">
        <v>819</v>
      </c>
      <c r="TBU97" s="975" t="s">
        <v>819</v>
      </c>
      <c r="TBV97" s="975" t="s">
        <v>819</v>
      </c>
      <c r="TBW97" s="975" t="s">
        <v>819</v>
      </c>
      <c r="TBX97" s="975" t="s">
        <v>819</v>
      </c>
      <c r="TBY97" s="975" t="s">
        <v>819</v>
      </c>
      <c r="TBZ97" s="975" t="s">
        <v>819</v>
      </c>
      <c r="TCA97" s="975" t="s">
        <v>819</v>
      </c>
      <c r="TCB97" s="975" t="s">
        <v>819</v>
      </c>
      <c r="TCC97" s="975" t="s">
        <v>819</v>
      </c>
      <c r="TCD97" s="975" t="s">
        <v>819</v>
      </c>
      <c r="TCE97" s="975" t="s">
        <v>819</v>
      </c>
      <c r="TCF97" s="975" t="s">
        <v>819</v>
      </c>
      <c r="TCG97" s="975" t="s">
        <v>819</v>
      </c>
      <c r="TCH97" s="975" t="s">
        <v>819</v>
      </c>
      <c r="TCI97" s="975" t="s">
        <v>819</v>
      </c>
      <c r="TCJ97" s="975" t="s">
        <v>819</v>
      </c>
      <c r="TCK97" s="975" t="s">
        <v>819</v>
      </c>
      <c r="TCL97" s="975" t="s">
        <v>819</v>
      </c>
      <c r="TCM97" s="975" t="s">
        <v>819</v>
      </c>
      <c r="TCN97" s="975" t="s">
        <v>819</v>
      </c>
      <c r="TCO97" s="975" t="s">
        <v>819</v>
      </c>
      <c r="TCP97" s="975" t="s">
        <v>819</v>
      </c>
      <c r="TCQ97" s="975" t="s">
        <v>819</v>
      </c>
      <c r="TCR97" s="975" t="s">
        <v>819</v>
      </c>
      <c r="TCS97" s="975" t="s">
        <v>819</v>
      </c>
      <c r="TCT97" s="975" t="s">
        <v>819</v>
      </c>
      <c r="TCU97" s="975" t="s">
        <v>819</v>
      </c>
      <c r="TCV97" s="975" t="s">
        <v>819</v>
      </c>
      <c r="TCW97" s="975" t="s">
        <v>819</v>
      </c>
      <c r="TCX97" s="975" t="s">
        <v>819</v>
      </c>
      <c r="TCY97" s="975" t="s">
        <v>819</v>
      </c>
      <c r="TCZ97" s="975" t="s">
        <v>819</v>
      </c>
      <c r="TDA97" s="975" t="s">
        <v>819</v>
      </c>
      <c r="TDB97" s="975" t="s">
        <v>819</v>
      </c>
      <c r="TDC97" s="975" t="s">
        <v>819</v>
      </c>
      <c r="TDD97" s="975" t="s">
        <v>819</v>
      </c>
      <c r="TDE97" s="975" t="s">
        <v>819</v>
      </c>
      <c r="TDF97" s="975" t="s">
        <v>819</v>
      </c>
      <c r="TDG97" s="975" t="s">
        <v>819</v>
      </c>
      <c r="TDH97" s="975" t="s">
        <v>819</v>
      </c>
      <c r="TDI97" s="975" t="s">
        <v>819</v>
      </c>
      <c r="TDJ97" s="975" t="s">
        <v>819</v>
      </c>
      <c r="TDK97" s="975" t="s">
        <v>819</v>
      </c>
      <c r="TDL97" s="975" t="s">
        <v>819</v>
      </c>
      <c r="TDM97" s="975" t="s">
        <v>819</v>
      </c>
      <c r="TDN97" s="975" t="s">
        <v>819</v>
      </c>
      <c r="TDO97" s="975" t="s">
        <v>819</v>
      </c>
      <c r="TDP97" s="975" t="s">
        <v>819</v>
      </c>
      <c r="TDQ97" s="975" t="s">
        <v>819</v>
      </c>
      <c r="TDR97" s="975" t="s">
        <v>819</v>
      </c>
      <c r="TDS97" s="975" t="s">
        <v>819</v>
      </c>
      <c r="TDT97" s="975" t="s">
        <v>819</v>
      </c>
      <c r="TDU97" s="975" t="s">
        <v>819</v>
      </c>
      <c r="TDV97" s="975" t="s">
        <v>819</v>
      </c>
      <c r="TDW97" s="975" t="s">
        <v>819</v>
      </c>
      <c r="TDX97" s="975" t="s">
        <v>819</v>
      </c>
      <c r="TDY97" s="975" t="s">
        <v>819</v>
      </c>
      <c r="TDZ97" s="975" t="s">
        <v>819</v>
      </c>
      <c r="TEA97" s="975" t="s">
        <v>819</v>
      </c>
      <c r="TEB97" s="975" t="s">
        <v>819</v>
      </c>
      <c r="TEC97" s="975" t="s">
        <v>819</v>
      </c>
      <c r="TED97" s="975" t="s">
        <v>819</v>
      </c>
      <c r="TEE97" s="975" t="s">
        <v>819</v>
      </c>
      <c r="TEF97" s="975" t="s">
        <v>819</v>
      </c>
      <c r="TEG97" s="975" t="s">
        <v>819</v>
      </c>
      <c r="TEH97" s="975" t="s">
        <v>819</v>
      </c>
      <c r="TEI97" s="975" t="s">
        <v>819</v>
      </c>
      <c r="TEJ97" s="975" t="s">
        <v>819</v>
      </c>
      <c r="TEK97" s="975" t="s">
        <v>819</v>
      </c>
      <c r="TEL97" s="975" t="s">
        <v>819</v>
      </c>
      <c r="TEM97" s="975" t="s">
        <v>819</v>
      </c>
      <c r="TEN97" s="975" t="s">
        <v>819</v>
      </c>
      <c r="TEO97" s="975" t="s">
        <v>819</v>
      </c>
      <c r="TEP97" s="975" t="s">
        <v>819</v>
      </c>
      <c r="TEQ97" s="975" t="s">
        <v>819</v>
      </c>
      <c r="TER97" s="975" t="s">
        <v>819</v>
      </c>
      <c r="TES97" s="975" t="s">
        <v>819</v>
      </c>
      <c r="TET97" s="975" t="s">
        <v>819</v>
      </c>
      <c r="TEU97" s="975" t="s">
        <v>819</v>
      </c>
      <c r="TEV97" s="975" t="s">
        <v>819</v>
      </c>
      <c r="TEW97" s="975" t="s">
        <v>819</v>
      </c>
      <c r="TEX97" s="975" t="s">
        <v>819</v>
      </c>
      <c r="TEY97" s="975" t="s">
        <v>819</v>
      </c>
      <c r="TEZ97" s="975" t="s">
        <v>819</v>
      </c>
      <c r="TFA97" s="975" t="s">
        <v>819</v>
      </c>
      <c r="TFB97" s="975" t="s">
        <v>819</v>
      </c>
      <c r="TFC97" s="975" t="s">
        <v>819</v>
      </c>
      <c r="TFD97" s="975" t="s">
        <v>819</v>
      </c>
      <c r="TFE97" s="975" t="s">
        <v>819</v>
      </c>
      <c r="TFF97" s="975" t="s">
        <v>819</v>
      </c>
      <c r="TFG97" s="975" t="s">
        <v>819</v>
      </c>
      <c r="TFH97" s="975" t="s">
        <v>819</v>
      </c>
      <c r="TFI97" s="975" t="s">
        <v>819</v>
      </c>
      <c r="TFJ97" s="975" t="s">
        <v>819</v>
      </c>
      <c r="TFK97" s="975" t="s">
        <v>819</v>
      </c>
      <c r="TFL97" s="975" t="s">
        <v>819</v>
      </c>
      <c r="TFM97" s="975" t="s">
        <v>819</v>
      </c>
      <c r="TFN97" s="975" t="s">
        <v>819</v>
      </c>
      <c r="TFO97" s="975" t="s">
        <v>819</v>
      </c>
      <c r="TFP97" s="975" t="s">
        <v>819</v>
      </c>
      <c r="TFQ97" s="975" t="s">
        <v>819</v>
      </c>
      <c r="TFR97" s="975" t="s">
        <v>819</v>
      </c>
      <c r="TFS97" s="975" t="s">
        <v>819</v>
      </c>
      <c r="TFT97" s="975" t="s">
        <v>819</v>
      </c>
      <c r="TFU97" s="975" t="s">
        <v>819</v>
      </c>
      <c r="TFV97" s="975" t="s">
        <v>819</v>
      </c>
      <c r="TFW97" s="975" t="s">
        <v>819</v>
      </c>
      <c r="TFX97" s="975" t="s">
        <v>819</v>
      </c>
      <c r="TFY97" s="975" t="s">
        <v>819</v>
      </c>
      <c r="TFZ97" s="975" t="s">
        <v>819</v>
      </c>
      <c r="TGA97" s="975" t="s">
        <v>819</v>
      </c>
      <c r="TGB97" s="975" t="s">
        <v>819</v>
      </c>
      <c r="TGC97" s="975" t="s">
        <v>819</v>
      </c>
      <c r="TGD97" s="975" t="s">
        <v>819</v>
      </c>
      <c r="TGE97" s="975" t="s">
        <v>819</v>
      </c>
      <c r="TGF97" s="975" t="s">
        <v>819</v>
      </c>
      <c r="TGG97" s="975" t="s">
        <v>819</v>
      </c>
      <c r="TGH97" s="975" t="s">
        <v>819</v>
      </c>
      <c r="TGI97" s="975" t="s">
        <v>819</v>
      </c>
      <c r="TGJ97" s="975" t="s">
        <v>819</v>
      </c>
      <c r="TGK97" s="975" t="s">
        <v>819</v>
      </c>
      <c r="TGL97" s="975" t="s">
        <v>819</v>
      </c>
      <c r="TGM97" s="975" t="s">
        <v>819</v>
      </c>
      <c r="TGN97" s="975" t="s">
        <v>819</v>
      </c>
      <c r="TGO97" s="975" t="s">
        <v>819</v>
      </c>
      <c r="TGP97" s="975" t="s">
        <v>819</v>
      </c>
      <c r="TGQ97" s="975" t="s">
        <v>819</v>
      </c>
      <c r="TGR97" s="975" t="s">
        <v>819</v>
      </c>
      <c r="TGS97" s="975" t="s">
        <v>819</v>
      </c>
      <c r="TGT97" s="975" t="s">
        <v>819</v>
      </c>
      <c r="TGU97" s="975" t="s">
        <v>819</v>
      </c>
      <c r="TGV97" s="975" t="s">
        <v>819</v>
      </c>
      <c r="TGW97" s="975" t="s">
        <v>819</v>
      </c>
      <c r="TGX97" s="975" t="s">
        <v>819</v>
      </c>
      <c r="TGY97" s="975" t="s">
        <v>819</v>
      </c>
      <c r="TGZ97" s="975" t="s">
        <v>819</v>
      </c>
      <c r="THA97" s="975" t="s">
        <v>819</v>
      </c>
      <c r="THB97" s="975" t="s">
        <v>819</v>
      </c>
      <c r="THC97" s="975" t="s">
        <v>819</v>
      </c>
      <c r="THD97" s="975" t="s">
        <v>819</v>
      </c>
      <c r="THE97" s="975" t="s">
        <v>819</v>
      </c>
      <c r="THF97" s="975" t="s">
        <v>819</v>
      </c>
      <c r="THG97" s="975" t="s">
        <v>819</v>
      </c>
      <c r="THH97" s="975" t="s">
        <v>819</v>
      </c>
      <c r="THI97" s="975" t="s">
        <v>819</v>
      </c>
      <c r="THJ97" s="975" t="s">
        <v>819</v>
      </c>
      <c r="THK97" s="975" t="s">
        <v>819</v>
      </c>
      <c r="THL97" s="975" t="s">
        <v>819</v>
      </c>
      <c r="THM97" s="975" t="s">
        <v>819</v>
      </c>
      <c r="THN97" s="975" t="s">
        <v>819</v>
      </c>
      <c r="THO97" s="975" t="s">
        <v>819</v>
      </c>
      <c r="THP97" s="975" t="s">
        <v>819</v>
      </c>
      <c r="THQ97" s="975" t="s">
        <v>819</v>
      </c>
      <c r="THR97" s="975" t="s">
        <v>819</v>
      </c>
      <c r="THS97" s="975" t="s">
        <v>819</v>
      </c>
      <c r="THT97" s="975" t="s">
        <v>819</v>
      </c>
      <c r="THU97" s="975" t="s">
        <v>819</v>
      </c>
      <c r="THV97" s="975" t="s">
        <v>819</v>
      </c>
      <c r="THW97" s="975" t="s">
        <v>819</v>
      </c>
      <c r="THX97" s="975" t="s">
        <v>819</v>
      </c>
      <c r="THY97" s="975" t="s">
        <v>819</v>
      </c>
      <c r="THZ97" s="975" t="s">
        <v>819</v>
      </c>
      <c r="TIA97" s="975" t="s">
        <v>819</v>
      </c>
      <c r="TIB97" s="975" t="s">
        <v>819</v>
      </c>
      <c r="TIC97" s="975" t="s">
        <v>819</v>
      </c>
      <c r="TID97" s="975" t="s">
        <v>819</v>
      </c>
      <c r="TIE97" s="975" t="s">
        <v>819</v>
      </c>
      <c r="TIF97" s="975" t="s">
        <v>819</v>
      </c>
      <c r="TIG97" s="975" t="s">
        <v>819</v>
      </c>
      <c r="TIH97" s="975" t="s">
        <v>819</v>
      </c>
      <c r="TII97" s="975" t="s">
        <v>819</v>
      </c>
      <c r="TIJ97" s="975" t="s">
        <v>819</v>
      </c>
      <c r="TIK97" s="975" t="s">
        <v>819</v>
      </c>
      <c r="TIL97" s="975" t="s">
        <v>819</v>
      </c>
      <c r="TIM97" s="975" t="s">
        <v>819</v>
      </c>
      <c r="TIN97" s="975" t="s">
        <v>819</v>
      </c>
      <c r="TIO97" s="975" t="s">
        <v>819</v>
      </c>
      <c r="TIP97" s="975" t="s">
        <v>819</v>
      </c>
      <c r="TIQ97" s="975" t="s">
        <v>819</v>
      </c>
      <c r="TIR97" s="975" t="s">
        <v>819</v>
      </c>
      <c r="TIS97" s="975" t="s">
        <v>819</v>
      </c>
      <c r="TIT97" s="975" t="s">
        <v>819</v>
      </c>
      <c r="TIU97" s="975" t="s">
        <v>819</v>
      </c>
      <c r="TIV97" s="975" t="s">
        <v>819</v>
      </c>
      <c r="TIW97" s="975" t="s">
        <v>819</v>
      </c>
      <c r="TIX97" s="975" t="s">
        <v>819</v>
      </c>
      <c r="TIY97" s="975" t="s">
        <v>819</v>
      </c>
      <c r="TIZ97" s="975" t="s">
        <v>819</v>
      </c>
      <c r="TJA97" s="975" t="s">
        <v>819</v>
      </c>
      <c r="TJB97" s="975" t="s">
        <v>819</v>
      </c>
      <c r="TJC97" s="975" t="s">
        <v>819</v>
      </c>
      <c r="TJD97" s="975" t="s">
        <v>819</v>
      </c>
      <c r="TJE97" s="975" t="s">
        <v>819</v>
      </c>
      <c r="TJF97" s="975" t="s">
        <v>819</v>
      </c>
      <c r="TJG97" s="975" t="s">
        <v>819</v>
      </c>
      <c r="TJH97" s="975" t="s">
        <v>819</v>
      </c>
      <c r="TJI97" s="975" t="s">
        <v>819</v>
      </c>
      <c r="TJJ97" s="975" t="s">
        <v>819</v>
      </c>
      <c r="TJK97" s="975" t="s">
        <v>819</v>
      </c>
      <c r="TJL97" s="975" t="s">
        <v>819</v>
      </c>
      <c r="TJM97" s="975" t="s">
        <v>819</v>
      </c>
      <c r="TJN97" s="975" t="s">
        <v>819</v>
      </c>
      <c r="TJO97" s="975" t="s">
        <v>819</v>
      </c>
      <c r="TJP97" s="975" t="s">
        <v>819</v>
      </c>
      <c r="TJQ97" s="975" t="s">
        <v>819</v>
      </c>
      <c r="TJR97" s="975" t="s">
        <v>819</v>
      </c>
      <c r="TJS97" s="975" t="s">
        <v>819</v>
      </c>
      <c r="TJT97" s="975" t="s">
        <v>819</v>
      </c>
      <c r="TJU97" s="975" t="s">
        <v>819</v>
      </c>
      <c r="TJV97" s="975" t="s">
        <v>819</v>
      </c>
      <c r="TJW97" s="975" t="s">
        <v>819</v>
      </c>
      <c r="TJX97" s="975" t="s">
        <v>819</v>
      </c>
      <c r="TJY97" s="975" t="s">
        <v>819</v>
      </c>
      <c r="TJZ97" s="975" t="s">
        <v>819</v>
      </c>
      <c r="TKA97" s="975" t="s">
        <v>819</v>
      </c>
      <c r="TKB97" s="975" t="s">
        <v>819</v>
      </c>
      <c r="TKC97" s="975" t="s">
        <v>819</v>
      </c>
      <c r="TKD97" s="975" t="s">
        <v>819</v>
      </c>
      <c r="TKE97" s="975" t="s">
        <v>819</v>
      </c>
      <c r="TKF97" s="975" t="s">
        <v>819</v>
      </c>
      <c r="TKG97" s="975" t="s">
        <v>819</v>
      </c>
      <c r="TKH97" s="975" t="s">
        <v>819</v>
      </c>
      <c r="TKI97" s="975" t="s">
        <v>819</v>
      </c>
      <c r="TKJ97" s="975" t="s">
        <v>819</v>
      </c>
      <c r="TKK97" s="975" t="s">
        <v>819</v>
      </c>
      <c r="TKL97" s="975" t="s">
        <v>819</v>
      </c>
      <c r="TKM97" s="975" t="s">
        <v>819</v>
      </c>
      <c r="TKN97" s="975" t="s">
        <v>819</v>
      </c>
      <c r="TKO97" s="975" t="s">
        <v>819</v>
      </c>
      <c r="TKP97" s="975" t="s">
        <v>819</v>
      </c>
      <c r="TKQ97" s="975" t="s">
        <v>819</v>
      </c>
      <c r="TKR97" s="975" t="s">
        <v>819</v>
      </c>
      <c r="TKS97" s="975" t="s">
        <v>819</v>
      </c>
      <c r="TKT97" s="975" t="s">
        <v>819</v>
      </c>
      <c r="TKU97" s="975" t="s">
        <v>819</v>
      </c>
      <c r="TKV97" s="975" t="s">
        <v>819</v>
      </c>
      <c r="TKW97" s="975" t="s">
        <v>819</v>
      </c>
      <c r="TKX97" s="975" t="s">
        <v>819</v>
      </c>
      <c r="TKY97" s="975" t="s">
        <v>819</v>
      </c>
      <c r="TKZ97" s="975" t="s">
        <v>819</v>
      </c>
      <c r="TLA97" s="975" t="s">
        <v>819</v>
      </c>
      <c r="TLB97" s="975" t="s">
        <v>819</v>
      </c>
      <c r="TLC97" s="975" t="s">
        <v>819</v>
      </c>
      <c r="TLD97" s="975" t="s">
        <v>819</v>
      </c>
      <c r="TLE97" s="975" t="s">
        <v>819</v>
      </c>
      <c r="TLF97" s="975" t="s">
        <v>819</v>
      </c>
      <c r="TLG97" s="975" t="s">
        <v>819</v>
      </c>
      <c r="TLH97" s="975" t="s">
        <v>819</v>
      </c>
      <c r="TLI97" s="975" t="s">
        <v>819</v>
      </c>
      <c r="TLJ97" s="975" t="s">
        <v>819</v>
      </c>
      <c r="TLK97" s="975" t="s">
        <v>819</v>
      </c>
      <c r="TLL97" s="975" t="s">
        <v>819</v>
      </c>
      <c r="TLM97" s="975" t="s">
        <v>819</v>
      </c>
      <c r="TLN97" s="975" t="s">
        <v>819</v>
      </c>
      <c r="TLO97" s="975" t="s">
        <v>819</v>
      </c>
      <c r="TLP97" s="975" t="s">
        <v>819</v>
      </c>
      <c r="TLQ97" s="975" t="s">
        <v>819</v>
      </c>
      <c r="TLR97" s="975" t="s">
        <v>819</v>
      </c>
      <c r="TLS97" s="975" t="s">
        <v>819</v>
      </c>
      <c r="TLT97" s="975" t="s">
        <v>819</v>
      </c>
      <c r="TLU97" s="975" t="s">
        <v>819</v>
      </c>
      <c r="TLV97" s="975" t="s">
        <v>819</v>
      </c>
      <c r="TLW97" s="975" t="s">
        <v>819</v>
      </c>
      <c r="TLX97" s="975" t="s">
        <v>819</v>
      </c>
      <c r="TLY97" s="975" t="s">
        <v>819</v>
      </c>
      <c r="TLZ97" s="975" t="s">
        <v>819</v>
      </c>
      <c r="TMA97" s="975" t="s">
        <v>819</v>
      </c>
      <c r="TMB97" s="975" t="s">
        <v>819</v>
      </c>
      <c r="TMC97" s="975" t="s">
        <v>819</v>
      </c>
      <c r="TMD97" s="975" t="s">
        <v>819</v>
      </c>
      <c r="TME97" s="975" t="s">
        <v>819</v>
      </c>
      <c r="TMF97" s="975" t="s">
        <v>819</v>
      </c>
      <c r="TMG97" s="975" t="s">
        <v>819</v>
      </c>
      <c r="TMH97" s="975" t="s">
        <v>819</v>
      </c>
      <c r="TMI97" s="975" t="s">
        <v>819</v>
      </c>
      <c r="TMJ97" s="975" t="s">
        <v>819</v>
      </c>
      <c r="TMK97" s="975" t="s">
        <v>819</v>
      </c>
      <c r="TML97" s="975" t="s">
        <v>819</v>
      </c>
      <c r="TMM97" s="975" t="s">
        <v>819</v>
      </c>
      <c r="TMN97" s="975" t="s">
        <v>819</v>
      </c>
      <c r="TMO97" s="975" t="s">
        <v>819</v>
      </c>
      <c r="TMP97" s="975" t="s">
        <v>819</v>
      </c>
      <c r="TMQ97" s="975" t="s">
        <v>819</v>
      </c>
      <c r="TMR97" s="975" t="s">
        <v>819</v>
      </c>
      <c r="TMS97" s="975" t="s">
        <v>819</v>
      </c>
      <c r="TMT97" s="975" t="s">
        <v>819</v>
      </c>
      <c r="TMU97" s="975" t="s">
        <v>819</v>
      </c>
      <c r="TMV97" s="975" t="s">
        <v>819</v>
      </c>
      <c r="TMW97" s="975" t="s">
        <v>819</v>
      </c>
      <c r="TMX97" s="975" t="s">
        <v>819</v>
      </c>
      <c r="TMY97" s="975" t="s">
        <v>819</v>
      </c>
      <c r="TMZ97" s="975" t="s">
        <v>819</v>
      </c>
      <c r="TNA97" s="975" t="s">
        <v>819</v>
      </c>
      <c r="TNB97" s="975" t="s">
        <v>819</v>
      </c>
      <c r="TNC97" s="975" t="s">
        <v>819</v>
      </c>
      <c r="TND97" s="975" t="s">
        <v>819</v>
      </c>
      <c r="TNE97" s="975" t="s">
        <v>819</v>
      </c>
      <c r="TNF97" s="975" t="s">
        <v>819</v>
      </c>
      <c r="TNG97" s="975" t="s">
        <v>819</v>
      </c>
      <c r="TNH97" s="975" t="s">
        <v>819</v>
      </c>
      <c r="TNI97" s="975" t="s">
        <v>819</v>
      </c>
      <c r="TNJ97" s="975" t="s">
        <v>819</v>
      </c>
      <c r="TNK97" s="975" t="s">
        <v>819</v>
      </c>
      <c r="TNL97" s="975" t="s">
        <v>819</v>
      </c>
      <c r="TNM97" s="975" t="s">
        <v>819</v>
      </c>
      <c r="TNN97" s="975" t="s">
        <v>819</v>
      </c>
      <c r="TNO97" s="975" t="s">
        <v>819</v>
      </c>
      <c r="TNP97" s="975" t="s">
        <v>819</v>
      </c>
      <c r="TNQ97" s="975" t="s">
        <v>819</v>
      </c>
      <c r="TNR97" s="975" t="s">
        <v>819</v>
      </c>
      <c r="TNS97" s="975" t="s">
        <v>819</v>
      </c>
      <c r="TNT97" s="975" t="s">
        <v>819</v>
      </c>
      <c r="TNU97" s="975" t="s">
        <v>819</v>
      </c>
      <c r="TNV97" s="975" t="s">
        <v>819</v>
      </c>
      <c r="TNW97" s="975" t="s">
        <v>819</v>
      </c>
      <c r="TNX97" s="975" t="s">
        <v>819</v>
      </c>
      <c r="TNY97" s="975" t="s">
        <v>819</v>
      </c>
      <c r="TNZ97" s="975" t="s">
        <v>819</v>
      </c>
      <c r="TOA97" s="975" t="s">
        <v>819</v>
      </c>
      <c r="TOB97" s="975" t="s">
        <v>819</v>
      </c>
      <c r="TOC97" s="975" t="s">
        <v>819</v>
      </c>
      <c r="TOD97" s="975" t="s">
        <v>819</v>
      </c>
      <c r="TOE97" s="975" t="s">
        <v>819</v>
      </c>
      <c r="TOF97" s="975" t="s">
        <v>819</v>
      </c>
      <c r="TOG97" s="975" t="s">
        <v>819</v>
      </c>
      <c r="TOH97" s="975" t="s">
        <v>819</v>
      </c>
      <c r="TOI97" s="975" t="s">
        <v>819</v>
      </c>
      <c r="TOJ97" s="975" t="s">
        <v>819</v>
      </c>
      <c r="TOK97" s="975" t="s">
        <v>819</v>
      </c>
      <c r="TOL97" s="975" t="s">
        <v>819</v>
      </c>
      <c r="TOM97" s="975" t="s">
        <v>819</v>
      </c>
      <c r="TON97" s="975" t="s">
        <v>819</v>
      </c>
      <c r="TOO97" s="975" t="s">
        <v>819</v>
      </c>
      <c r="TOP97" s="975" t="s">
        <v>819</v>
      </c>
      <c r="TOQ97" s="975" t="s">
        <v>819</v>
      </c>
      <c r="TOR97" s="975" t="s">
        <v>819</v>
      </c>
      <c r="TOS97" s="975" t="s">
        <v>819</v>
      </c>
      <c r="TOT97" s="975" t="s">
        <v>819</v>
      </c>
      <c r="TOU97" s="975" t="s">
        <v>819</v>
      </c>
      <c r="TOV97" s="975" t="s">
        <v>819</v>
      </c>
      <c r="TOW97" s="975" t="s">
        <v>819</v>
      </c>
      <c r="TOX97" s="975" t="s">
        <v>819</v>
      </c>
      <c r="TOY97" s="975" t="s">
        <v>819</v>
      </c>
      <c r="TOZ97" s="975" t="s">
        <v>819</v>
      </c>
      <c r="TPA97" s="975" t="s">
        <v>819</v>
      </c>
      <c r="TPB97" s="975" t="s">
        <v>819</v>
      </c>
      <c r="TPC97" s="975" t="s">
        <v>819</v>
      </c>
      <c r="TPD97" s="975" t="s">
        <v>819</v>
      </c>
      <c r="TPE97" s="975" t="s">
        <v>819</v>
      </c>
      <c r="TPF97" s="975" t="s">
        <v>819</v>
      </c>
      <c r="TPG97" s="975" t="s">
        <v>819</v>
      </c>
      <c r="TPH97" s="975" t="s">
        <v>819</v>
      </c>
      <c r="TPI97" s="975" t="s">
        <v>819</v>
      </c>
      <c r="TPJ97" s="975" t="s">
        <v>819</v>
      </c>
      <c r="TPK97" s="975" t="s">
        <v>819</v>
      </c>
      <c r="TPL97" s="975" t="s">
        <v>819</v>
      </c>
      <c r="TPM97" s="975" t="s">
        <v>819</v>
      </c>
      <c r="TPN97" s="975" t="s">
        <v>819</v>
      </c>
      <c r="TPO97" s="975" t="s">
        <v>819</v>
      </c>
      <c r="TPP97" s="975" t="s">
        <v>819</v>
      </c>
      <c r="TPQ97" s="975" t="s">
        <v>819</v>
      </c>
      <c r="TPR97" s="975" t="s">
        <v>819</v>
      </c>
      <c r="TPS97" s="975" t="s">
        <v>819</v>
      </c>
      <c r="TPT97" s="975" t="s">
        <v>819</v>
      </c>
      <c r="TPU97" s="975" t="s">
        <v>819</v>
      </c>
      <c r="TPV97" s="975" t="s">
        <v>819</v>
      </c>
      <c r="TPW97" s="975" t="s">
        <v>819</v>
      </c>
      <c r="TPX97" s="975" t="s">
        <v>819</v>
      </c>
      <c r="TPY97" s="975" t="s">
        <v>819</v>
      </c>
      <c r="TPZ97" s="975" t="s">
        <v>819</v>
      </c>
      <c r="TQA97" s="975" t="s">
        <v>819</v>
      </c>
      <c r="TQB97" s="975" t="s">
        <v>819</v>
      </c>
      <c r="TQC97" s="975" t="s">
        <v>819</v>
      </c>
      <c r="TQD97" s="975" t="s">
        <v>819</v>
      </c>
      <c r="TQE97" s="975" t="s">
        <v>819</v>
      </c>
      <c r="TQF97" s="975" t="s">
        <v>819</v>
      </c>
      <c r="TQG97" s="975" t="s">
        <v>819</v>
      </c>
      <c r="TQH97" s="975" t="s">
        <v>819</v>
      </c>
      <c r="TQI97" s="975" t="s">
        <v>819</v>
      </c>
      <c r="TQJ97" s="975" t="s">
        <v>819</v>
      </c>
      <c r="TQK97" s="975" t="s">
        <v>819</v>
      </c>
      <c r="TQL97" s="975" t="s">
        <v>819</v>
      </c>
      <c r="TQM97" s="975" t="s">
        <v>819</v>
      </c>
      <c r="TQN97" s="975" t="s">
        <v>819</v>
      </c>
      <c r="TQO97" s="975" t="s">
        <v>819</v>
      </c>
      <c r="TQP97" s="975" t="s">
        <v>819</v>
      </c>
      <c r="TQQ97" s="975" t="s">
        <v>819</v>
      </c>
      <c r="TQR97" s="975" t="s">
        <v>819</v>
      </c>
      <c r="TQS97" s="975" t="s">
        <v>819</v>
      </c>
      <c r="TQT97" s="975" t="s">
        <v>819</v>
      </c>
      <c r="TQU97" s="975" t="s">
        <v>819</v>
      </c>
      <c r="TQV97" s="975" t="s">
        <v>819</v>
      </c>
      <c r="TQW97" s="975" t="s">
        <v>819</v>
      </c>
      <c r="TQX97" s="975" t="s">
        <v>819</v>
      </c>
      <c r="TQY97" s="975" t="s">
        <v>819</v>
      </c>
      <c r="TQZ97" s="975" t="s">
        <v>819</v>
      </c>
      <c r="TRA97" s="975" t="s">
        <v>819</v>
      </c>
      <c r="TRB97" s="975" t="s">
        <v>819</v>
      </c>
      <c r="TRC97" s="975" t="s">
        <v>819</v>
      </c>
      <c r="TRD97" s="975" t="s">
        <v>819</v>
      </c>
      <c r="TRE97" s="975" t="s">
        <v>819</v>
      </c>
      <c r="TRF97" s="975" t="s">
        <v>819</v>
      </c>
      <c r="TRG97" s="975" t="s">
        <v>819</v>
      </c>
      <c r="TRH97" s="975" t="s">
        <v>819</v>
      </c>
      <c r="TRI97" s="975" t="s">
        <v>819</v>
      </c>
      <c r="TRJ97" s="975" t="s">
        <v>819</v>
      </c>
      <c r="TRK97" s="975" t="s">
        <v>819</v>
      </c>
      <c r="TRL97" s="975" t="s">
        <v>819</v>
      </c>
      <c r="TRM97" s="975" t="s">
        <v>819</v>
      </c>
      <c r="TRN97" s="975" t="s">
        <v>819</v>
      </c>
      <c r="TRO97" s="975" t="s">
        <v>819</v>
      </c>
      <c r="TRP97" s="975" t="s">
        <v>819</v>
      </c>
      <c r="TRQ97" s="975" t="s">
        <v>819</v>
      </c>
      <c r="TRR97" s="975" t="s">
        <v>819</v>
      </c>
      <c r="TRS97" s="975" t="s">
        <v>819</v>
      </c>
      <c r="TRT97" s="975" t="s">
        <v>819</v>
      </c>
      <c r="TRU97" s="975" t="s">
        <v>819</v>
      </c>
      <c r="TRV97" s="975" t="s">
        <v>819</v>
      </c>
      <c r="TRW97" s="975" t="s">
        <v>819</v>
      </c>
      <c r="TRX97" s="975" t="s">
        <v>819</v>
      </c>
      <c r="TRY97" s="975" t="s">
        <v>819</v>
      </c>
      <c r="TRZ97" s="975" t="s">
        <v>819</v>
      </c>
      <c r="TSA97" s="975" t="s">
        <v>819</v>
      </c>
      <c r="TSB97" s="975" t="s">
        <v>819</v>
      </c>
      <c r="TSC97" s="975" t="s">
        <v>819</v>
      </c>
      <c r="TSD97" s="975" t="s">
        <v>819</v>
      </c>
      <c r="TSE97" s="975" t="s">
        <v>819</v>
      </c>
      <c r="TSF97" s="975" t="s">
        <v>819</v>
      </c>
      <c r="TSG97" s="975" t="s">
        <v>819</v>
      </c>
      <c r="TSH97" s="975" t="s">
        <v>819</v>
      </c>
      <c r="TSI97" s="975" t="s">
        <v>819</v>
      </c>
      <c r="TSJ97" s="975" t="s">
        <v>819</v>
      </c>
      <c r="TSK97" s="975" t="s">
        <v>819</v>
      </c>
      <c r="TSL97" s="975" t="s">
        <v>819</v>
      </c>
      <c r="TSM97" s="975" t="s">
        <v>819</v>
      </c>
      <c r="TSN97" s="975" t="s">
        <v>819</v>
      </c>
      <c r="TSO97" s="975" t="s">
        <v>819</v>
      </c>
      <c r="TSP97" s="975" t="s">
        <v>819</v>
      </c>
      <c r="TSQ97" s="975" t="s">
        <v>819</v>
      </c>
      <c r="TSR97" s="975" t="s">
        <v>819</v>
      </c>
      <c r="TSS97" s="975" t="s">
        <v>819</v>
      </c>
      <c r="TST97" s="975" t="s">
        <v>819</v>
      </c>
      <c r="TSU97" s="975" t="s">
        <v>819</v>
      </c>
      <c r="TSV97" s="975" t="s">
        <v>819</v>
      </c>
      <c r="TSW97" s="975" t="s">
        <v>819</v>
      </c>
      <c r="TSX97" s="975" t="s">
        <v>819</v>
      </c>
      <c r="TSY97" s="975" t="s">
        <v>819</v>
      </c>
      <c r="TSZ97" s="975" t="s">
        <v>819</v>
      </c>
      <c r="TTA97" s="975" t="s">
        <v>819</v>
      </c>
      <c r="TTB97" s="975" t="s">
        <v>819</v>
      </c>
      <c r="TTC97" s="975" t="s">
        <v>819</v>
      </c>
      <c r="TTD97" s="975" t="s">
        <v>819</v>
      </c>
      <c r="TTE97" s="975" t="s">
        <v>819</v>
      </c>
      <c r="TTF97" s="975" t="s">
        <v>819</v>
      </c>
      <c r="TTG97" s="975" t="s">
        <v>819</v>
      </c>
      <c r="TTH97" s="975" t="s">
        <v>819</v>
      </c>
      <c r="TTI97" s="975" t="s">
        <v>819</v>
      </c>
      <c r="TTJ97" s="975" t="s">
        <v>819</v>
      </c>
      <c r="TTK97" s="975" t="s">
        <v>819</v>
      </c>
      <c r="TTL97" s="975" t="s">
        <v>819</v>
      </c>
      <c r="TTM97" s="975" t="s">
        <v>819</v>
      </c>
      <c r="TTN97" s="975" t="s">
        <v>819</v>
      </c>
      <c r="TTO97" s="975" t="s">
        <v>819</v>
      </c>
      <c r="TTP97" s="975" t="s">
        <v>819</v>
      </c>
      <c r="TTQ97" s="975" t="s">
        <v>819</v>
      </c>
      <c r="TTR97" s="975" t="s">
        <v>819</v>
      </c>
      <c r="TTS97" s="975" t="s">
        <v>819</v>
      </c>
      <c r="TTT97" s="975" t="s">
        <v>819</v>
      </c>
      <c r="TTU97" s="975" t="s">
        <v>819</v>
      </c>
      <c r="TTV97" s="975" t="s">
        <v>819</v>
      </c>
      <c r="TTW97" s="975" t="s">
        <v>819</v>
      </c>
      <c r="TTX97" s="975" t="s">
        <v>819</v>
      </c>
      <c r="TTY97" s="975" t="s">
        <v>819</v>
      </c>
      <c r="TTZ97" s="975" t="s">
        <v>819</v>
      </c>
      <c r="TUA97" s="975" t="s">
        <v>819</v>
      </c>
      <c r="TUB97" s="975" t="s">
        <v>819</v>
      </c>
      <c r="TUC97" s="975" t="s">
        <v>819</v>
      </c>
      <c r="TUD97" s="975" t="s">
        <v>819</v>
      </c>
      <c r="TUE97" s="975" t="s">
        <v>819</v>
      </c>
      <c r="TUF97" s="975" t="s">
        <v>819</v>
      </c>
      <c r="TUG97" s="975" t="s">
        <v>819</v>
      </c>
      <c r="TUH97" s="975" t="s">
        <v>819</v>
      </c>
      <c r="TUI97" s="975" t="s">
        <v>819</v>
      </c>
      <c r="TUJ97" s="975" t="s">
        <v>819</v>
      </c>
      <c r="TUK97" s="975" t="s">
        <v>819</v>
      </c>
      <c r="TUL97" s="975" t="s">
        <v>819</v>
      </c>
      <c r="TUM97" s="975" t="s">
        <v>819</v>
      </c>
      <c r="TUN97" s="975" t="s">
        <v>819</v>
      </c>
      <c r="TUO97" s="975" t="s">
        <v>819</v>
      </c>
      <c r="TUP97" s="975" t="s">
        <v>819</v>
      </c>
      <c r="TUQ97" s="975" t="s">
        <v>819</v>
      </c>
      <c r="TUR97" s="975" t="s">
        <v>819</v>
      </c>
      <c r="TUS97" s="975" t="s">
        <v>819</v>
      </c>
      <c r="TUT97" s="975" t="s">
        <v>819</v>
      </c>
      <c r="TUU97" s="975" t="s">
        <v>819</v>
      </c>
      <c r="TUV97" s="975" t="s">
        <v>819</v>
      </c>
      <c r="TUW97" s="975" t="s">
        <v>819</v>
      </c>
      <c r="TUX97" s="975" t="s">
        <v>819</v>
      </c>
      <c r="TUY97" s="975" t="s">
        <v>819</v>
      </c>
      <c r="TUZ97" s="975" t="s">
        <v>819</v>
      </c>
      <c r="TVA97" s="975" t="s">
        <v>819</v>
      </c>
      <c r="TVB97" s="975" t="s">
        <v>819</v>
      </c>
      <c r="TVC97" s="975" t="s">
        <v>819</v>
      </c>
      <c r="TVD97" s="975" t="s">
        <v>819</v>
      </c>
      <c r="TVE97" s="975" t="s">
        <v>819</v>
      </c>
      <c r="TVF97" s="975" t="s">
        <v>819</v>
      </c>
      <c r="TVG97" s="975" t="s">
        <v>819</v>
      </c>
      <c r="TVH97" s="975" t="s">
        <v>819</v>
      </c>
      <c r="TVI97" s="975" t="s">
        <v>819</v>
      </c>
      <c r="TVJ97" s="975" t="s">
        <v>819</v>
      </c>
      <c r="TVK97" s="975" t="s">
        <v>819</v>
      </c>
      <c r="TVL97" s="975" t="s">
        <v>819</v>
      </c>
      <c r="TVM97" s="975" t="s">
        <v>819</v>
      </c>
      <c r="TVN97" s="975" t="s">
        <v>819</v>
      </c>
      <c r="TVO97" s="975" t="s">
        <v>819</v>
      </c>
      <c r="TVP97" s="975" t="s">
        <v>819</v>
      </c>
      <c r="TVQ97" s="975" t="s">
        <v>819</v>
      </c>
      <c r="TVR97" s="975" t="s">
        <v>819</v>
      </c>
      <c r="TVS97" s="975" t="s">
        <v>819</v>
      </c>
      <c r="TVT97" s="975" t="s">
        <v>819</v>
      </c>
      <c r="TVU97" s="975" t="s">
        <v>819</v>
      </c>
      <c r="TVV97" s="975" t="s">
        <v>819</v>
      </c>
      <c r="TVW97" s="975" t="s">
        <v>819</v>
      </c>
      <c r="TVX97" s="975" t="s">
        <v>819</v>
      </c>
      <c r="TVY97" s="975" t="s">
        <v>819</v>
      </c>
      <c r="TVZ97" s="975" t="s">
        <v>819</v>
      </c>
      <c r="TWA97" s="975" t="s">
        <v>819</v>
      </c>
      <c r="TWB97" s="975" t="s">
        <v>819</v>
      </c>
      <c r="TWC97" s="975" t="s">
        <v>819</v>
      </c>
      <c r="TWD97" s="975" t="s">
        <v>819</v>
      </c>
      <c r="TWE97" s="975" t="s">
        <v>819</v>
      </c>
      <c r="TWF97" s="975" t="s">
        <v>819</v>
      </c>
      <c r="TWG97" s="975" t="s">
        <v>819</v>
      </c>
      <c r="TWH97" s="975" t="s">
        <v>819</v>
      </c>
      <c r="TWI97" s="975" t="s">
        <v>819</v>
      </c>
      <c r="TWJ97" s="975" t="s">
        <v>819</v>
      </c>
      <c r="TWK97" s="975" t="s">
        <v>819</v>
      </c>
      <c r="TWL97" s="975" t="s">
        <v>819</v>
      </c>
      <c r="TWM97" s="975" t="s">
        <v>819</v>
      </c>
      <c r="TWN97" s="975" t="s">
        <v>819</v>
      </c>
      <c r="TWO97" s="975" t="s">
        <v>819</v>
      </c>
      <c r="TWP97" s="975" t="s">
        <v>819</v>
      </c>
      <c r="TWQ97" s="975" t="s">
        <v>819</v>
      </c>
      <c r="TWR97" s="975" t="s">
        <v>819</v>
      </c>
      <c r="TWS97" s="975" t="s">
        <v>819</v>
      </c>
      <c r="TWT97" s="975" t="s">
        <v>819</v>
      </c>
      <c r="TWU97" s="975" t="s">
        <v>819</v>
      </c>
      <c r="TWV97" s="975" t="s">
        <v>819</v>
      </c>
      <c r="TWW97" s="975" t="s">
        <v>819</v>
      </c>
      <c r="TWX97" s="975" t="s">
        <v>819</v>
      </c>
      <c r="TWY97" s="975" t="s">
        <v>819</v>
      </c>
      <c r="TWZ97" s="975" t="s">
        <v>819</v>
      </c>
      <c r="TXA97" s="975" t="s">
        <v>819</v>
      </c>
      <c r="TXB97" s="975" t="s">
        <v>819</v>
      </c>
      <c r="TXC97" s="975" t="s">
        <v>819</v>
      </c>
      <c r="TXD97" s="975" t="s">
        <v>819</v>
      </c>
      <c r="TXE97" s="975" t="s">
        <v>819</v>
      </c>
      <c r="TXF97" s="975" t="s">
        <v>819</v>
      </c>
      <c r="TXG97" s="975" t="s">
        <v>819</v>
      </c>
      <c r="TXH97" s="975" t="s">
        <v>819</v>
      </c>
      <c r="TXI97" s="975" t="s">
        <v>819</v>
      </c>
      <c r="TXJ97" s="975" t="s">
        <v>819</v>
      </c>
      <c r="TXK97" s="975" t="s">
        <v>819</v>
      </c>
      <c r="TXL97" s="975" t="s">
        <v>819</v>
      </c>
      <c r="TXM97" s="975" t="s">
        <v>819</v>
      </c>
      <c r="TXN97" s="975" t="s">
        <v>819</v>
      </c>
      <c r="TXO97" s="975" t="s">
        <v>819</v>
      </c>
      <c r="TXP97" s="975" t="s">
        <v>819</v>
      </c>
      <c r="TXQ97" s="975" t="s">
        <v>819</v>
      </c>
      <c r="TXR97" s="975" t="s">
        <v>819</v>
      </c>
      <c r="TXS97" s="975" t="s">
        <v>819</v>
      </c>
      <c r="TXT97" s="975" t="s">
        <v>819</v>
      </c>
      <c r="TXU97" s="975" t="s">
        <v>819</v>
      </c>
      <c r="TXV97" s="975" t="s">
        <v>819</v>
      </c>
      <c r="TXW97" s="975" t="s">
        <v>819</v>
      </c>
      <c r="TXX97" s="975" t="s">
        <v>819</v>
      </c>
      <c r="TXY97" s="975" t="s">
        <v>819</v>
      </c>
      <c r="TXZ97" s="975" t="s">
        <v>819</v>
      </c>
      <c r="TYA97" s="975" t="s">
        <v>819</v>
      </c>
      <c r="TYB97" s="975" t="s">
        <v>819</v>
      </c>
      <c r="TYC97" s="975" t="s">
        <v>819</v>
      </c>
      <c r="TYD97" s="975" t="s">
        <v>819</v>
      </c>
      <c r="TYE97" s="975" t="s">
        <v>819</v>
      </c>
      <c r="TYF97" s="975" t="s">
        <v>819</v>
      </c>
      <c r="TYG97" s="975" t="s">
        <v>819</v>
      </c>
      <c r="TYH97" s="975" t="s">
        <v>819</v>
      </c>
      <c r="TYI97" s="975" t="s">
        <v>819</v>
      </c>
      <c r="TYJ97" s="975" t="s">
        <v>819</v>
      </c>
      <c r="TYK97" s="975" t="s">
        <v>819</v>
      </c>
      <c r="TYL97" s="975" t="s">
        <v>819</v>
      </c>
      <c r="TYM97" s="975" t="s">
        <v>819</v>
      </c>
      <c r="TYN97" s="975" t="s">
        <v>819</v>
      </c>
      <c r="TYO97" s="975" t="s">
        <v>819</v>
      </c>
      <c r="TYP97" s="975" t="s">
        <v>819</v>
      </c>
      <c r="TYQ97" s="975" t="s">
        <v>819</v>
      </c>
      <c r="TYR97" s="975" t="s">
        <v>819</v>
      </c>
      <c r="TYS97" s="975" t="s">
        <v>819</v>
      </c>
      <c r="TYT97" s="975" t="s">
        <v>819</v>
      </c>
      <c r="TYU97" s="975" t="s">
        <v>819</v>
      </c>
      <c r="TYV97" s="975" t="s">
        <v>819</v>
      </c>
      <c r="TYW97" s="975" t="s">
        <v>819</v>
      </c>
      <c r="TYX97" s="975" t="s">
        <v>819</v>
      </c>
      <c r="TYY97" s="975" t="s">
        <v>819</v>
      </c>
      <c r="TYZ97" s="975" t="s">
        <v>819</v>
      </c>
      <c r="TZA97" s="975" t="s">
        <v>819</v>
      </c>
      <c r="TZB97" s="975" t="s">
        <v>819</v>
      </c>
      <c r="TZC97" s="975" t="s">
        <v>819</v>
      </c>
      <c r="TZD97" s="975" t="s">
        <v>819</v>
      </c>
      <c r="TZE97" s="975" t="s">
        <v>819</v>
      </c>
      <c r="TZF97" s="975" t="s">
        <v>819</v>
      </c>
      <c r="TZG97" s="975" t="s">
        <v>819</v>
      </c>
      <c r="TZH97" s="975" t="s">
        <v>819</v>
      </c>
      <c r="TZI97" s="975" t="s">
        <v>819</v>
      </c>
      <c r="TZJ97" s="975" t="s">
        <v>819</v>
      </c>
      <c r="TZK97" s="975" t="s">
        <v>819</v>
      </c>
      <c r="TZL97" s="975" t="s">
        <v>819</v>
      </c>
      <c r="TZM97" s="975" t="s">
        <v>819</v>
      </c>
      <c r="TZN97" s="975" t="s">
        <v>819</v>
      </c>
      <c r="TZO97" s="975" t="s">
        <v>819</v>
      </c>
      <c r="TZP97" s="975" t="s">
        <v>819</v>
      </c>
      <c r="TZQ97" s="975" t="s">
        <v>819</v>
      </c>
      <c r="TZR97" s="975" t="s">
        <v>819</v>
      </c>
      <c r="TZS97" s="975" t="s">
        <v>819</v>
      </c>
      <c r="TZT97" s="975" t="s">
        <v>819</v>
      </c>
      <c r="TZU97" s="975" t="s">
        <v>819</v>
      </c>
      <c r="TZV97" s="975" t="s">
        <v>819</v>
      </c>
      <c r="TZW97" s="975" t="s">
        <v>819</v>
      </c>
      <c r="TZX97" s="975" t="s">
        <v>819</v>
      </c>
      <c r="TZY97" s="975" t="s">
        <v>819</v>
      </c>
      <c r="TZZ97" s="975" t="s">
        <v>819</v>
      </c>
      <c r="UAA97" s="975" t="s">
        <v>819</v>
      </c>
      <c r="UAB97" s="975" t="s">
        <v>819</v>
      </c>
      <c r="UAC97" s="975" t="s">
        <v>819</v>
      </c>
      <c r="UAD97" s="975" t="s">
        <v>819</v>
      </c>
      <c r="UAE97" s="975" t="s">
        <v>819</v>
      </c>
      <c r="UAF97" s="975" t="s">
        <v>819</v>
      </c>
      <c r="UAG97" s="975" t="s">
        <v>819</v>
      </c>
      <c r="UAH97" s="975" t="s">
        <v>819</v>
      </c>
      <c r="UAI97" s="975" t="s">
        <v>819</v>
      </c>
      <c r="UAJ97" s="975" t="s">
        <v>819</v>
      </c>
      <c r="UAK97" s="975" t="s">
        <v>819</v>
      </c>
      <c r="UAL97" s="975" t="s">
        <v>819</v>
      </c>
      <c r="UAM97" s="975" t="s">
        <v>819</v>
      </c>
      <c r="UAN97" s="975" t="s">
        <v>819</v>
      </c>
      <c r="UAO97" s="975" t="s">
        <v>819</v>
      </c>
      <c r="UAP97" s="975" t="s">
        <v>819</v>
      </c>
      <c r="UAQ97" s="975" t="s">
        <v>819</v>
      </c>
      <c r="UAR97" s="975" t="s">
        <v>819</v>
      </c>
      <c r="UAS97" s="975" t="s">
        <v>819</v>
      </c>
      <c r="UAT97" s="975" t="s">
        <v>819</v>
      </c>
      <c r="UAU97" s="975" t="s">
        <v>819</v>
      </c>
      <c r="UAV97" s="975" t="s">
        <v>819</v>
      </c>
      <c r="UAW97" s="975" t="s">
        <v>819</v>
      </c>
      <c r="UAX97" s="975" t="s">
        <v>819</v>
      </c>
      <c r="UAY97" s="975" t="s">
        <v>819</v>
      </c>
      <c r="UAZ97" s="975" t="s">
        <v>819</v>
      </c>
      <c r="UBA97" s="975" t="s">
        <v>819</v>
      </c>
      <c r="UBB97" s="975" t="s">
        <v>819</v>
      </c>
      <c r="UBC97" s="975" t="s">
        <v>819</v>
      </c>
      <c r="UBD97" s="975" t="s">
        <v>819</v>
      </c>
      <c r="UBE97" s="975" t="s">
        <v>819</v>
      </c>
      <c r="UBF97" s="975" t="s">
        <v>819</v>
      </c>
      <c r="UBG97" s="975" t="s">
        <v>819</v>
      </c>
      <c r="UBH97" s="975" t="s">
        <v>819</v>
      </c>
      <c r="UBI97" s="975" t="s">
        <v>819</v>
      </c>
      <c r="UBJ97" s="975" t="s">
        <v>819</v>
      </c>
      <c r="UBK97" s="975" t="s">
        <v>819</v>
      </c>
      <c r="UBL97" s="975" t="s">
        <v>819</v>
      </c>
      <c r="UBM97" s="975" t="s">
        <v>819</v>
      </c>
      <c r="UBN97" s="975" t="s">
        <v>819</v>
      </c>
      <c r="UBO97" s="975" t="s">
        <v>819</v>
      </c>
      <c r="UBP97" s="975" t="s">
        <v>819</v>
      </c>
      <c r="UBQ97" s="975" t="s">
        <v>819</v>
      </c>
      <c r="UBR97" s="975" t="s">
        <v>819</v>
      </c>
      <c r="UBS97" s="975" t="s">
        <v>819</v>
      </c>
      <c r="UBT97" s="975" t="s">
        <v>819</v>
      </c>
      <c r="UBU97" s="975" t="s">
        <v>819</v>
      </c>
      <c r="UBV97" s="975" t="s">
        <v>819</v>
      </c>
      <c r="UBW97" s="975" t="s">
        <v>819</v>
      </c>
      <c r="UBX97" s="975" t="s">
        <v>819</v>
      </c>
      <c r="UBY97" s="975" t="s">
        <v>819</v>
      </c>
      <c r="UBZ97" s="975" t="s">
        <v>819</v>
      </c>
      <c r="UCA97" s="975" t="s">
        <v>819</v>
      </c>
      <c r="UCB97" s="975" t="s">
        <v>819</v>
      </c>
      <c r="UCC97" s="975" t="s">
        <v>819</v>
      </c>
      <c r="UCD97" s="975" t="s">
        <v>819</v>
      </c>
      <c r="UCE97" s="975" t="s">
        <v>819</v>
      </c>
      <c r="UCF97" s="975" t="s">
        <v>819</v>
      </c>
      <c r="UCG97" s="975" t="s">
        <v>819</v>
      </c>
      <c r="UCH97" s="975" t="s">
        <v>819</v>
      </c>
      <c r="UCI97" s="975" t="s">
        <v>819</v>
      </c>
      <c r="UCJ97" s="975" t="s">
        <v>819</v>
      </c>
      <c r="UCK97" s="975" t="s">
        <v>819</v>
      </c>
      <c r="UCL97" s="975" t="s">
        <v>819</v>
      </c>
      <c r="UCM97" s="975" t="s">
        <v>819</v>
      </c>
      <c r="UCN97" s="975" t="s">
        <v>819</v>
      </c>
      <c r="UCO97" s="975" t="s">
        <v>819</v>
      </c>
      <c r="UCP97" s="975" t="s">
        <v>819</v>
      </c>
      <c r="UCQ97" s="975" t="s">
        <v>819</v>
      </c>
      <c r="UCR97" s="975" t="s">
        <v>819</v>
      </c>
      <c r="UCS97" s="975" t="s">
        <v>819</v>
      </c>
      <c r="UCT97" s="975" t="s">
        <v>819</v>
      </c>
      <c r="UCU97" s="975" t="s">
        <v>819</v>
      </c>
      <c r="UCV97" s="975" t="s">
        <v>819</v>
      </c>
      <c r="UCW97" s="975" t="s">
        <v>819</v>
      </c>
      <c r="UCX97" s="975" t="s">
        <v>819</v>
      </c>
      <c r="UCY97" s="975" t="s">
        <v>819</v>
      </c>
      <c r="UCZ97" s="975" t="s">
        <v>819</v>
      </c>
      <c r="UDA97" s="975" t="s">
        <v>819</v>
      </c>
      <c r="UDB97" s="975" t="s">
        <v>819</v>
      </c>
      <c r="UDC97" s="975" t="s">
        <v>819</v>
      </c>
      <c r="UDD97" s="975" t="s">
        <v>819</v>
      </c>
      <c r="UDE97" s="975" t="s">
        <v>819</v>
      </c>
      <c r="UDF97" s="975" t="s">
        <v>819</v>
      </c>
      <c r="UDG97" s="975" t="s">
        <v>819</v>
      </c>
      <c r="UDH97" s="975" t="s">
        <v>819</v>
      </c>
      <c r="UDI97" s="975" t="s">
        <v>819</v>
      </c>
      <c r="UDJ97" s="975" t="s">
        <v>819</v>
      </c>
      <c r="UDK97" s="975" t="s">
        <v>819</v>
      </c>
      <c r="UDL97" s="975" t="s">
        <v>819</v>
      </c>
      <c r="UDM97" s="975" t="s">
        <v>819</v>
      </c>
      <c r="UDN97" s="975" t="s">
        <v>819</v>
      </c>
      <c r="UDO97" s="975" t="s">
        <v>819</v>
      </c>
      <c r="UDP97" s="975" t="s">
        <v>819</v>
      </c>
      <c r="UDQ97" s="975" t="s">
        <v>819</v>
      </c>
      <c r="UDR97" s="975" t="s">
        <v>819</v>
      </c>
      <c r="UDS97" s="975" t="s">
        <v>819</v>
      </c>
      <c r="UDT97" s="975" t="s">
        <v>819</v>
      </c>
      <c r="UDU97" s="975" t="s">
        <v>819</v>
      </c>
      <c r="UDV97" s="975" t="s">
        <v>819</v>
      </c>
      <c r="UDW97" s="975" t="s">
        <v>819</v>
      </c>
      <c r="UDX97" s="975" t="s">
        <v>819</v>
      </c>
      <c r="UDY97" s="975" t="s">
        <v>819</v>
      </c>
      <c r="UDZ97" s="975" t="s">
        <v>819</v>
      </c>
      <c r="UEA97" s="975" t="s">
        <v>819</v>
      </c>
      <c r="UEB97" s="975" t="s">
        <v>819</v>
      </c>
      <c r="UEC97" s="975" t="s">
        <v>819</v>
      </c>
      <c r="UED97" s="975" t="s">
        <v>819</v>
      </c>
      <c r="UEE97" s="975" t="s">
        <v>819</v>
      </c>
      <c r="UEF97" s="975" t="s">
        <v>819</v>
      </c>
      <c r="UEG97" s="975" t="s">
        <v>819</v>
      </c>
      <c r="UEH97" s="975" t="s">
        <v>819</v>
      </c>
      <c r="UEI97" s="975" t="s">
        <v>819</v>
      </c>
      <c r="UEJ97" s="975" t="s">
        <v>819</v>
      </c>
      <c r="UEK97" s="975" t="s">
        <v>819</v>
      </c>
      <c r="UEL97" s="975" t="s">
        <v>819</v>
      </c>
      <c r="UEM97" s="975" t="s">
        <v>819</v>
      </c>
      <c r="UEN97" s="975" t="s">
        <v>819</v>
      </c>
      <c r="UEO97" s="975" t="s">
        <v>819</v>
      </c>
      <c r="UEP97" s="975" t="s">
        <v>819</v>
      </c>
      <c r="UEQ97" s="975" t="s">
        <v>819</v>
      </c>
      <c r="UER97" s="975" t="s">
        <v>819</v>
      </c>
      <c r="UES97" s="975" t="s">
        <v>819</v>
      </c>
      <c r="UET97" s="975" t="s">
        <v>819</v>
      </c>
      <c r="UEU97" s="975" t="s">
        <v>819</v>
      </c>
      <c r="UEV97" s="975" t="s">
        <v>819</v>
      </c>
      <c r="UEW97" s="975" t="s">
        <v>819</v>
      </c>
      <c r="UEX97" s="975" t="s">
        <v>819</v>
      </c>
      <c r="UEY97" s="975" t="s">
        <v>819</v>
      </c>
      <c r="UEZ97" s="975" t="s">
        <v>819</v>
      </c>
      <c r="UFA97" s="975" t="s">
        <v>819</v>
      </c>
      <c r="UFB97" s="975" t="s">
        <v>819</v>
      </c>
      <c r="UFC97" s="975" t="s">
        <v>819</v>
      </c>
      <c r="UFD97" s="975" t="s">
        <v>819</v>
      </c>
      <c r="UFE97" s="975" t="s">
        <v>819</v>
      </c>
      <c r="UFF97" s="975" t="s">
        <v>819</v>
      </c>
      <c r="UFG97" s="975" t="s">
        <v>819</v>
      </c>
      <c r="UFH97" s="975" t="s">
        <v>819</v>
      </c>
      <c r="UFI97" s="975" t="s">
        <v>819</v>
      </c>
      <c r="UFJ97" s="975" t="s">
        <v>819</v>
      </c>
      <c r="UFK97" s="975" t="s">
        <v>819</v>
      </c>
      <c r="UFL97" s="975" t="s">
        <v>819</v>
      </c>
      <c r="UFM97" s="975" t="s">
        <v>819</v>
      </c>
      <c r="UFN97" s="975" t="s">
        <v>819</v>
      </c>
      <c r="UFO97" s="975" t="s">
        <v>819</v>
      </c>
      <c r="UFP97" s="975" t="s">
        <v>819</v>
      </c>
      <c r="UFQ97" s="975" t="s">
        <v>819</v>
      </c>
      <c r="UFR97" s="975" t="s">
        <v>819</v>
      </c>
      <c r="UFS97" s="975" t="s">
        <v>819</v>
      </c>
      <c r="UFT97" s="975" t="s">
        <v>819</v>
      </c>
      <c r="UFU97" s="975" t="s">
        <v>819</v>
      </c>
      <c r="UFV97" s="975" t="s">
        <v>819</v>
      </c>
      <c r="UFW97" s="975" t="s">
        <v>819</v>
      </c>
      <c r="UFX97" s="975" t="s">
        <v>819</v>
      </c>
      <c r="UFY97" s="975" t="s">
        <v>819</v>
      </c>
      <c r="UFZ97" s="975" t="s">
        <v>819</v>
      </c>
      <c r="UGA97" s="975" t="s">
        <v>819</v>
      </c>
      <c r="UGB97" s="975" t="s">
        <v>819</v>
      </c>
      <c r="UGC97" s="975" t="s">
        <v>819</v>
      </c>
      <c r="UGD97" s="975" t="s">
        <v>819</v>
      </c>
      <c r="UGE97" s="975" t="s">
        <v>819</v>
      </c>
      <c r="UGF97" s="975" t="s">
        <v>819</v>
      </c>
      <c r="UGG97" s="975" t="s">
        <v>819</v>
      </c>
      <c r="UGH97" s="975" t="s">
        <v>819</v>
      </c>
      <c r="UGI97" s="975" t="s">
        <v>819</v>
      </c>
      <c r="UGJ97" s="975" t="s">
        <v>819</v>
      </c>
      <c r="UGK97" s="975" t="s">
        <v>819</v>
      </c>
      <c r="UGL97" s="975" t="s">
        <v>819</v>
      </c>
      <c r="UGM97" s="975" t="s">
        <v>819</v>
      </c>
      <c r="UGN97" s="975" t="s">
        <v>819</v>
      </c>
      <c r="UGO97" s="975" t="s">
        <v>819</v>
      </c>
      <c r="UGP97" s="975" t="s">
        <v>819</v>
      </c>
      <c r="UGQ97" s="975" t="s">
        <v>819</v>
      </c>
      <c r="UGR97" s="975" t="s">
        <v>819</v>
      </c>
      <c r="UGS97" s="975" t="s">
        <v>819</v>
      </c>
      <c r="UGT97" s="975" t="s">
        <v>819</v>
      </c>
      <c r="UGU97" s="975" t="s">
        <v>819</v>
      </c>
      <c r="UGV97" s="975" t="s">
        <v>819</v>
      </c>
      <c r="UGW97" s="975" t="s">
        <v>819</v>
      </c>
      <c r="UGX97" s="975" t="s">
        <v>819</v>
      </c>
      <c r="UGY97" s="975" t="s">
        <v>819</v>
      </c>
      <c r="UGZ97" s="975" t="s">
        <v>819</v>
      </c>
      <c r="UHA97" s="975" t="s">
        <v>819</v>
      </c>
      <c r="UHB97" s="975" t="s">
        <v>819</v>
      </c>
      <c r="UHC97" s="975" t="s">
        <v>819</v>
      </c>
      <c r="UHD97" s="975" t="s">
        <v>819</v>
      </c>
      <c r="UHE97" s="975" t="s">
        <v>819</v>
      </c>
      <c r="UHF97" s="975" t="s">
        <v>819</v>
      </c>
      <c r="UHG97" s="975" t="s">
        <v>819</v>
      </c>
      <c r="UHH97" s="975" t="s">
        <v>819</v>
      </c>
      <c r="UHI97" s="975" t="s">
        <v>819</v>
      </c>
      <c r="UHJ97" s="975" t="s">
        <v>819</v>
      </c>
      <c r="UHK97" s="975" t="s">
        <v>819</v>
      </c>
      <c r="UHL97" s="975" t="s">
        <v>819</v>
      </c>
      <c r="UHM97" s="975" t="s">
        <v>819</v>
      </c>
      <c r="UHN97" s="975" t="s">
        <v>819</v>
      </c>
      <c r="UHO97" s="975" t="s">
        <v>819</v>
      </c>
      <c r="UHP97" s="975" t="s">
        <v>819</v>
      </c>
      <c r="UHQ97" s="975" t="s">
        <v>819</v>
      </c>
      <c r="UHR97" s="975" t="s">
        <v>819</v>
      </c>
      <c r="UHS97" s="975" t="s">
        <v>819</v>
      </c>
      <c r="UHT97" s="975" t="s">
        <v>819</v>
      </c>
      <c r="UHU97" s="975" t="s">
        <v>819</v>
      </c>
      <c r="UHV97" s="975" t="s">
        <v>819</v>
      </c>
      <c r="UHW97" s="975" t="s">
        <v>819</v>
      </c>
      <c r="UHX97" s="975" t="s">
        <v>819</v>
      </c>
      <c r="UHY97" s="975" t="s">
        <v>819</v>
      </c>
      <c r="UHZ97" s="975" t="s">
        <v>819</v>
      </c>
      <c r="UIA97" s="975" t="s">
        <v>819</v>
      </c>
      <c r="UIB97" s="975" t="s">
        <v>819</v>
      </c>
      <c r="UIC97" s="975" t="s">
        <v>819</v>
      </c>
      <c r="UID97" s="975" t="s">
        <v>819</v>
      </c>
      <c r="UIE97" s="975" t="s">
        <v>819</v>
      </c>
      <c r="UIF97" s="975" t="s">
        <v>819</v>
      </c>
      <c r="UIG97" s="975" t="s">
        <v>819</v>
      </c>
      <c r="UIH97" s="975" t="s">
        <v>819</v>
      </c>
      <c r="UII97" s="975" t="s">
        <v>819</v>
      </c>
      <c r="UIJ97" s="975" t="s">
        <v>819</v>
      </c>
      <c r="UIK97" s="975" t="s">
        <v>819</v>
      </c>
      <c r="UIL97" s="975" t="s">
        <v>819</v>
      </c>
      <c r="UIM97" s="975" t="s">
        <v>819</v>
      </c>
      <c r="UIN97" s="975" t="s">
        <v>819</v>
      </c>
      <c r="UIO97" s="975" t="s">
        <v>819</v>
      </c>
      <c r="UIP97" s="975" t="s">
        <v>819</v>
      </c>
      <c r="UIQ97" s="975" t="s">
        <v>819</v>
      </c>
      <c r="UIR97" s="975" t="s">
        <v>819</v>
      </c>
      <c r="UIS97" s="975" t="s">
        <v>819</v>
      </c>
      <c r="UIT97" s="975" t="s">
        <v>819</v>
      </c>
      <c r="UIU97" s="975" t="s">
        <v>819</v>
      </c>
      <c r="UIV97" s="975" t="s">
        <v>819</v>
      </c>
      <c r="UIW97" s="975" t="s">
        <v>819</v>
      </c>
      <c r="UIX97" s="975" t="s">
        <v>819</v>
      </c>
      <c r="UIY97" s="975" t="s">
        <v>819</v>
      </c>
      <c r="UIZ97" s="975" t="s">
        <v>819</v>
      </c>
      <c r="UJA97" s="975" t="s">
        <v>819</v>
      </c>
      <c r="UJB97" s="975" t="s">
        <v>819</v>
      </c>
      <c r="UJC97" s="975" t="s">
        <v>819</v>
      </c>
      <c r="UJD97" s="975" t="s">
        <v>819</v>
      </c>
      <c r="UJE97" s="975" t="s">
        <v>819</v>
      </c>
      <c r="UJF97" s="975" t="s">
        <v>819</v>
      </c>
      <c r="UJG97" s="975" t="s">
        <v>819</v>
      </c>
      <c r="UJH97" s="975" t="s">
        <v>819</v>
      </c>
      <c r="UJI97" s="975" t="s">
        <v>819</v>
      </c>
      <c r="UJJ97" s="975" t="s">
        <v>819</v>
      </c>
      <c r="UJK97" s="975" t="s">
        <v>819</v>
      </c>
      <c r="UJL97" s="975" t="s">
        <v>819</v>
      </c>
      <c r="UJM97" s="975" t="s">
        <v>819</v>
      </c>
      <c r="UJN97" s="975" t="s">
        <v>819</v>
      </c>
      <c r="UJO97" s="975" t="s">
        <v>819</v>
      </c>
      <c r="UJP97" s="975" t="s">
        <v>819</v>
      </c>
      <c r="UJQ97" s="975" t="s">
        <v>819</v>
      </c>
      <c r="UJR97" s="975" t="s">
        <v>819</v>
      </c>
      <c r="UJS97" s="975" t="s">
        <v>819</v>
      </c>
      <c r="UJT97" s="975" t="s">
        <v>819</v>
      </c>
      <c r="UJU97" s="975" t="s">
        <v>819</v>
      </c>
      <c r="UJV97" s="975" t="s">
        <v>819</v>
      </c>
      <c r="UJW97" s="975" t="s">
        <v>819</v>
      </c>
      <c r="UJX97" s="975" t="s">
        <v>819</v>
      </c>
      <c r="UJY97" s="975" t="s">
        <v>819</v>
      </c>
      <c r="UJZ97" s="975" t="s">
        <v>819</v>
      </c>
      <c r="UKA97" s="975" t="s">
        <v>819</v>
      </c>
      <c r="UKB97" s="975" t="s">
        <v>819</v>
      </c>
      <c r="UKC97" s="975" t="s">
        <v>819</v>
      </c>
      <c r="UKD97" s="975" t="s">
        <v>819</v>
      </c>
      <c r="UKE97" s="975" t="s">
        <v>819</v>
      </c>
      <c r="UKF97" s="975" t="s">
        <v>819</v>
      </c>
      <c r="UKG97" s="975" t="s">
        <v>819</v>
      </c>
      <c r="UKH97" s="975" t="s">
        <v>819</v>
      </c>
      <c r="UKI97" s="975" t="s">
        <v>819</v>
      </c>
      <c r="UKJ97" s="975" t="s">
        <v>819</v>
      </c>
      <c r="UKK97" s="975" t="s">
        <v>819</v>
      </c>
      <c r="UKL97" s="975" t="s">
        <v>819</v>
      </c>
      <c r="UKM97" s="975" t="s">
        <v>819</v>
      </c>
      <c r="UKN97" s="975" t="s">
        <v>819</v>
      </c>
      <c r="UKO97" s="975" t="s">
        <v>819</v>
      </c>
      <c r="UKP97" s="975" t="s">
        <v>819</v>
      </c>
      <c r="UKQ97" s="975" t="s">
        <v>819</v>
      </c>
      <c r="UKR97" s="975" t="s">
        <v>819</v>
      </c>
      <c r="UKS97" s="975" t="s">
        <v>819</v>
      </c>
      <c r="UKT97" s="975" t="s">
        <v>819</v>
      </c>
      <c r="UKU97" s="975" t="s">
        <v>819</v>
      </c>
      <c r="UKV97" s="975" t="s">
        <v>819</v>
      </c>
      <c r="UKW97" s="975" t="s">
        <v>819</v>
      </c>
      <c r="UKX97" s="975" t="s">
        <v>819</v>
      </c>
      <c r="UKY97" s="975" t="s">
        <v>819</v>
      </c>
      <c r="UKZ97" s="975" t="s">
        <v>819</v>
      </c>
      <c r="ULA97" s="975" t="s">
        <v>819</v>
      </c>
      <c r="ULB97" s="975" t="s">
        <v>819</v>
      </c>
      <c r="ULC97" s="975" t="s">
        <v>819</v>
      </c>
      <c r="ULD97" s="975" t="s">
        <v>819</v>
      </c>
      <c r="ULE97" s="975" t="s">
        <v>819</v>
      </c>
      <c r="ULF97" s="975" t="s">
        <v>819</v>
      </c>
      <c r="ULG97" s="975" t="s">
        <v>819</v>
      </c>
      <c r="ULH97" s="975" t="s">
        <v>819</v>
      </c>
      <c r="ULI97" s="975" t="s">
        <v>819</v>
      </c>
      <c r="ULJ97" s="975" t="s">
        <v>819</v>
      </c>
      <c r="ULK97" s="975" t="s">
        <v>819</v>
      </c>
      <c r="ULL97" s="975" t="s">
        <v>819</v>
      </c>
      <c r="ULM97" s="975" t="s">
        <v>819</v>
      </c>
      <c r="ULN97" s="975" t="s">
        <v>819</v>
      </c>
      <c r="ULO97" s="975" t="s">
        <v>819</v>
      </c>
      <c r="ULP97" s="975" t="s">
        <v>819</v>
      </c>
      <c r="ULQ97" s="975" t="s">
        <v>819</v>
      </c>
      <c r="ULR97" s="975" t="s">
        <v>819</v>
      </c>
      <c r="ULS97" s="975" t="s">
        <v>819</v>
      </c>
      <c r="ULT97" s="975" t="s">
        <v>819</v>
      </c>
      <c r="ULU97" s="975" t="s">
        <v>819</v>
      </c>
      <c r="ULV97" s="975" t="s">
        <v>819</v>
      </c>
      <c r="ULW97" s="975" t="s">
        <v>819</v>
      </c>
      <c r="ULX97" s="975" t="s">
        <v>819</v>
      </c>
      <c r="ULY97" s="975" t="s">
        <v>819</v>
      </c>
      <c r="ULZ97" s="975" t="s">
        <v>819</v>
      </c>
      <c r="UMA97" s="975" t="s">
        <v>819</v>
      </c>
      <c r="UMB97" s="975" t="s">
        <v>819</v>
      </c>
      <c r="UMC97" s="975" t="s">
        <v>819</v>
      </c>
      <c r="UMD97" s="975" t="s">
        <v>819</v>
      </c>
      <c r="UME97" s="975" t="s">
        <v>819</v>
      </c>
      <c r="UMF97" s="975" t="s">
        <v>819</v>
      </c>
      <c r="UMG97" s="975" t="s">
        <v>819</v>
      </c>
      <c r="UMH97" s="975" t="s">
        <v>819</v>
      </c>
      <c r="UMI97" s="975" t="s">
        <v>819</v>
      </c>
      <c r="UMJ97" s="975" t="s">
        <v>819</v>
      </c>
      <c r="UMK97" s="975" t="s">
        <v>819</v>
      </c>
      <c r="UML97" s="975" t="s">
        <v>819</v>
      </c>
      <c r="UMM97" s="975" t="s">
        <v>819</v>
      </c>
      <c r="UMN97" s="975" t="s">
        <v>819</v>
      </c>
      <c r="UMO97" s="975" t="s">
        <v>819</v>
      </c>
      <c r="UMP97" s="975" t="s">
        <v>819</v>
      </c>
      <c r="UMQ97" s="975" t="s">
        <v>819</v>
      </c>
      <c r="UMR97" s="975" t="s">
        <v>819</v>
      </c>
      <c r="UMS97" s="975" t="s">
        <v>819</v>
      </c>
      <c r="UMT97" s="975" t="s">
        <v>819</v>
      </c>
      <c r="UMU97" s="975" t="s">
        <v>819</v>
      </c>
      <c r="UMV97" s="975" t="s">
        <v>819</v>
      </c>
      <c r="UMW97" s="975" t="s">
        <v>819</v>
      </c>
      <c r="UMX97" s="975" t="s">
        <v>819</v>
      </c>
      <c r="UMY97" s="975" t="s">
        <v>819</v>
      </c>
      <c r="UMZ97" s="975" t="s">
        <v>819</v>
      </c>
      <c r="UNA97" s="975" t="s">
        <v>819</v>
      </c>
      <c r="UNB97" s="975" t="s">
        <v>819</v>
      </c>
      <c r="UNC97" s="975" t="s">
        <v>819</v>
      </c>
      <c r="UND97" s="975" t="s">
        <v>819</v>
      </c>
      <c r="UNE97" s="975" t="s">
        <v>819</v>
      </c>
      <c r="UNF97" s="975" t="s">
        <v>819</v>
      </c>
      <c r="UNG97" s="975" t="s">
        <v>819</v>
      </c>
      <c r="UNH97" s="975" t="s">
        <v>819</v>
      </c>
      <c r="UNI97" s="975" t="s">
        <v>819</v>
      </c>
      <c r="UNJ97" s="975" t="s">
        <v>819</v>
      </c>
      <c r="UNK97" s="975" t="s">
        <v>819</v>
      </c>
      <c r="UNL97" s="975" t="s">
        <v>819</v>
      </c>
      <c r="UNM97" s="975" t="s">
        <v>819</v>
      </c>
      <c r="UNN97" s="975" t="s">
        <v>819</v>
      </c>
      <c r="UNO97" s="975" t="s">
        <v>819</v>
      </c>
      <c r="UNP97" s="975" t="s">
        <v>819</v>
      </c>
      <c r="UNQ97" s="975" t="s">
        <v>819</v>
      </c>
      <c r="UNR97" s="975" t="s">
        <v>819</v>
      </c>
      <c r="UNS97" s="975" t="s">
        <v>819</v>
      </c>
      <c r="UNT97" s="975" t="s">
        <v>819</v>
      </c>
      <c r="UNU97" s="975" t="s">
        <v>819</v>
      </c>
      <c r="UNV97" s="975" t="s">
        <v>819</v>
      </c>
      <c r="UNW97" s="975" t="s">
        <v>819</v>
      </c>
      <c r="UNX97" s="975" t="s">
        <v>819</v>
      </c>
      <c r="UNY97" s="975" t="s">
        <v>819</v>
      </c>
      <c r="UNZ97" s="975" t="s">
        <v>819</v>
      </c>
      <c r="UOA97" s="975" t="s">
        <v>819</v>
      </c>
      <c r="UOB97" s="975" t="s">
        <v>819</v>
      </c>
      <c r="UOC97" s="975" t="s">
        <v>819</v>
      </c>
      <c r="UOD97" s="975" t="s">
        <v>819</v>
      </c>
      <c r="UOE97" s="975" t="s">
        <v>819</v>
      </c>
      <c r="UOF97" s="975" t="s">
        <v>819</v>
      </c>
      <c r="UOG97" s="975" t="s">
        <v>819</v>
      </c>
      <c r="UOH97" s="975" t="s">
        <v>819</v>
      </c>
      <c r="UOI97" s="975" t="s">
        <v>819</v>
      </c>
      <c r="UOJ97" s="975" t="s">
        <v>819</v>
      </c>
      <c r="UOK97" s="975" t="s">
        <v>819</v>
      </c>
      <c r="UOL97" s="975" t="s">
        <v>819</v>
      </c>
      <c r="UOM97" s="975" t="s">
        <v>819</v>
      </c>
      <c r="UON97" s="975" t="s">
        <v>819</v>
      </c>
      <c r="UOO97" s="975" t="s">
        <v>819</v>
      </c>
      <c r="UOP97" s="975" t="s">
        <v>819</v>
      </c>
      <c r="UOQ97" s="975" t="s">
        <v>819</v>
      </c>
      <c r="UOR97" s="975" t="s">
        <v>819</v>
      </c>
      <c r="UOS97" s="975" t="s">
        <v>819</v>
      </c>
      <c r="UOT97" s="975" t="s">
        <v>819</v>
      </c>
      <c r="UOU97" s="975" t="s">
        <v>819</v>
      </c>
      <c r="UOV97" s="975" t="s">
        <v>819</v>
      </c>
      <c r="UOW97" s="975" t="s">
        <v>819</v>
      </c>
      <c r="UOX97" s="975" t="s">
        <v>819</v>
      </c>
      <c r="UOY97" s="975" t="s">
        <v>819</v>
      </c>
      <c r="UOZ97" s="975" t="s">
        <v>819</v>
      </c>
      <c r="UPA97" s="975" t="s">
        <v>819</v>
      </c>
      <c r="UPB97" s="975" t="s">
        <v>819</v>
      </c>
      <c r="UPC97" s="975" t="s">
        <v>819</v>
      </c>
      <c r="UPD97" s="975" t="s">
        <v>819</v>
      </c>
      <c r="UPE97" s="975" t="s">
        <v>819</v>
      </c>
      <c r="UPF97" s="975" t="s">
        <v>819</v>
      </c>
      <c r="UPG97" s="975" t="s">
        <v>819</v>
      </c>
      <c r="UPH97" s="975" t="s">
        <v>819</v>
      </c>
      <c r="UPI97" s="975" t="s">
        <v>819</v>
      </c>
      <c r="UPJ97" s="975" t="s">
        <v>819</v>
      </c>
      <c r="UPK97" s="975" t="s">
        <v>819</v>
      </c>
      <c r="UPL97" s="975" t="s">
        <v>819</v>
      </c>
      <c r="UPM97" s="975" t="s">
        <v>819</v>
      </c>
      <c r="UPN97" s="975" t="s">
        <v>819</v>
      </c>
      <c r="UPO97" s="975" t="s">
        <v>819</v>
      </c>
      <c r="UPP97" s="975" t="s">
        <v>819</v>
      </c>
      <c r="UPQ97" s="975" t="s">
        <v>819</v>
      </c>
      <c r="UPR97" s="975" t="s">
        <v>819</v>
      </c>
      <c r="UPS97" s="975" t="s">
        <v>819</v>
      </c>
      <c r="UPT97" s="975" t="s">
        <v>819</v>
      </c>
      <c r="UPU97" s="975" t="s">
        <v>819</v>
      </c>
      <c r="UPV97" s="975" t="s">
        <v>819</v>
      </c>
      <c r="UPW97" s="975" t="s">
        <v>819</v>
      </c>
      <c r="UPX97" s="975" t="s">
        <v>819</v>
      </c>
      <c r="UPY97" s="975" t="s">
        <v>819</v>
      </c>
      <c r="UPZ97" s="975" t="s">
        <v>819</v>
      </c>
      <c r="UQA97" s="975" t="s">
        <v>819</v>
      </c>
      <c r="UQB97" s="975" t="s">
        <v>819</v>
      </c>
      <c r="UQC97" s="975" t="s">
        <v>819</v>
      </c>
      <c r="UQD97" s="975" t="s">
        <v>819</v>
      </c>
      <c r="UQE97" s="975" t="s">
        <v>819</v>
      </c>
      <c r="UQF97" s="975" t="s">
        <v>819</v>
      </c>
      <c r="UQG97" s="975" t="s">
        <v>819</v>
      </c>
      <c r="UQH97" s="975" t="s">
        <v>819</v>
      </c>
      <c r="UQI97" s="975" t="s">
        <v>819</v>
      </c>
      <c r="UQJ97" s="975" t="s">
        <v>819</v>
      </c>
      <c r="UQK97" s="975" t="s">
        <v>819</v>
      </c>
      <c r="UQL97" s="975" t="s">
        <v>819</v>
      </c>
      <c r="UQM97" s="975" t="s">
        <v>819</v>
      </c>
      <c r="UQN97" s="975" t="s">
        <v>819</v>
      </c>
      <c r="UQO97" s="975" t="s">
        <v>819</v>
      </c>
      <c r="UQP97" s="975" t="s">
        <v>819</v>
      </c>
      <c r="UQQ97" s="975" t="s">
        <v>819</v>
      </c>
      <c r="UQR97" s="975" t="s">
        <v>819</v>
      </c>
      <c r="UQS97" s="975" t="s">
        <v>819</v>
      </c>
      <c r="UQT97" s="975" t="s">
        <v>819</v>
      </c>
      <c r="UQU97" s="975" t="s">
        <v>819</v>
      </c>
      <c r="UQV97" s="975" t="s">
        <v>819</v>
      </c>
      <c r="UQW97" s="975" t="s">
        <v>819</v>
      </c>
      <c r="UQX97" s="975" t="s">
        <v>819</v>
      </c>
      <c r="UQY97" s="975" t="s">
        <v>819</v>
      </c>
      <c r="UQZ97" s="975" t="s">
        <v>819</v>
      </c>
      <c r="URA97" s="975" t="s">
        <v>819</v>
      </c>
      <c r="URB97" s="975" t="s">
        <v>819</v>
      </c>
      <c r="URC97" s="975" t="s">
        <v>819</v>
      </c>
      <c r="URD97" s="975" t="s">
        <v>819</v>
      </c>
      <c r="URE97" s="975" t="s">
        <v>819</v>
      </c>
      <c r="URF97" s="975" t="s">
        <v>819</v>
      </c>
      <c r="URG97" s="975" t="s">
        <v>819</v>
      </c>
      <c r="URH97" s="975" t="s">
        <v>819</v>
      </c>
      <c r="URI97" s="975" t="s">
        <v>819</v>
      </c>
      <c r="URJ97" s="975" t="s">
        <v>819</v>
      </c>
      <c r="URK97" s="975" t="s">
        <v>819</v>
      </c>
      <c r="URL97" s="975" t="s">
        <v>819</v>
      </c>
      <c r="URM97" s="975" t="s">
        <v>819</v>
      </c>
      <c r="URN97" s="975" t="s">
        <v>819</v>
      </c>
      <c r="URO97" s="975" t="s">
        <v>819</v>
      </c>
      <c r="URP97" s="975" t="s">
        <v>819</v>
      </c>
      <c r="URQ97" s="975" t="s">
        <v>819</v>
      </c>
      <c r="URR97" s="975" t="s">
        <v>819</v>
      </c>
      <c r="URS97" s="975" t="s">
        <v>819</v>
      </c>
      <c r="URT97" s="975" t="s">
        <v>819</v>
      </c>
      <c r="URU97" s="975" t="s">
        <v>819</v>
      </c>
      <c r="URV97" s="975" t="s">
        <v>819</v>
      </c>
      <c r="URW97" s="975" t="s">
        <v>819</v>
      </c>
      <c r="URX97" s="975" t="s">
        <v>819</v>
      </c>
      <c r="URY97" s="975" t="s">
        <v>819</v>
      </c>
      <c r="URZ97" s="975" t="s">
        <v>819</v>
      </c>
      <c r="USA97" s="975" t="s">
        <v>819</v>
      </c>
      <c r="USB97" s="975" t="s">
        <v>819</v>
      </c>
      <c r="USC97" s="975" t="s">
        <v>819</v>
      </c>
      <c r="USD97" s="975" t="s">
        <v>819</v>
      </c>
      <c r="USE97" s="975" t="s">
        <v>819</v>
      </c>
      <c r="USF97" s="975" t="s">
        <v>819</v>
      </c>
      <c r="USG97" s="975" t="s">
        <v>819</v>
      </c>
      <c r="USH97" s="975" t="s">
        <v>819</v>
      </c>
      <c r="USI97" s="975" t="s">
        <v>819</v>
      </c>
      <c r="USJ97" s="975" t="s">
        <v>819</v>
      </c>
      <c r="USK97" s="975" t="s">
        <v>819</v>
      </c>
      <c r="USL97" s="975" t="s">
        <v>819</v>
      </c>
      <c r="USM97" s="975" t="s">
        <v>819</v>
      </c>
      <c r="USN97" s="975" t="s">
        <v>819</v>
      </c>
      <c r="USO97" s="975" t="s">
        <v>819</v>
      </c>
      <c r="USP97" s="975" t="s">
        <v>819</v>
      </c>
      <c r="USQ97" s="975" t="s">
        <v>819</v>
      </c>
      <c r="USR97" s="975" t="s">
        <v>819</v>
      </c>
      <c r="USS97" s="975" t="s">
        <v>819</v>
      </c>
      <c r="UST97" s="975" t="s">
        <v>819</v>
      </c>
      <c r="USU97" s="975" t="s">
        <v>819</v>
      </c>
      <c r="USV97" s="975" t="s">
        <v>819</v>
      </c>
      <c r="USW97" s="975" t="s">
        <v>819</v>
      </c>
      <c r="USX97" s="975" t="s">
        <v>819</v>
      </c>
      <c r="USY97" s="975" t="s">
        <v>819</v>
      </c>
      <c r="USZ97" s="975" t="s">
        <v>819</v>
      </c>
      <c r="UTA97" s="975" t="s">
        <v>819</v>
      </c>
      <c r="UTB97" s="975" t="s">
        <v>819</v>
      </c>
      <c r="UTC97" s="975" t="s">
        <v>819</v>
      </c>
      <c r="UTD97" s="975" t="s">
        <v>819</v>
      </c>
      <c r="UTE97" s="975" t="s">
        <v>819</v>
      </c>
      <c r="UTF97" s="975" t="s">
        <v>819</v>
      </c>
      <c r="UTG97" s="975" t="s">
        <v>819</v>
      </c>
      <c r="UTH97" s="975" t="s">
        <v>819</v>
      </c>
      <c r="UTI97" s="975" t="s">
        <v>819</v>
      </c>
      <c r="UTJ97" s="975" t="s">
        <v>819</v>
      </c>
      <c r="UTK97" s="975" t="s">
        <v>819</v>
      </c>
      <c r="UTL97" s="975" t="s">
        <v>819</v>
      </c>
      <c r="UTM97" s="975" t="s">
        <v>819</v>
      </c>
      <c r="UTN97" s="975" t="s">
        <v>819</v>
      </c>
      <c r="UTO97" s="975" t="s">
        <v>819</v>
      </c>
      <c r="UTP97" s="975" t="s">
        <v>819</v>
      </c>
      <c r="UTQ97" s="975" t="s">
        <v>819</v>
      </c>
      <c r="UTR97" s="975" t="s">
        <v>819</v>
      </c>
      <c r="UTS97" s="975" t="s">
        <v>819</v>
      </c>
      <c r="UTT97" s="975" t="s">
        <v>819</v>
      </c>
      <c r="UTU97" s="975" t="s">
        <v>819</v>
      </c>
      <c r="UTV97" s="975" t="s">
        <v>819</v>
      </c>
      <c r="UTW97" s="975" t="s">
        <v>819</v>
      </c>
      <c r="UTX97" s="975" t="s">
        <v>819</v>
      </c>
      <c r="UTY97" s="975" t="s">
        <v>819</v>
      </c>
      <c r="UTZ97" s="975" t="s">
        <v>819</v>
      </c>
      <c r="UUA97" s="975" t="s">
        <v>819</v>
      </c>
      <c r="UUB97" s="975" t="s">
        <v>819</v>
      </c>
      <c r="UUC97" s="975" t="s">
        <v>819</v>
      </c>
      <c r="UUD97" s="975" t="s">
        <v>819</v>
      </c>
      <c r="UUE97" s="975" t="s">
        <v>819</v>
      </c>
      <c r="UUF97" s="975" t="s">
        <v>819</v>
      </c>
      <c r="UUG97" s="975" t="s">
        <v>819</v>
      </c>
      <c r="UUH97" s="975" t="s">
        <v>819</v>
      </c>
      <c r="UUI97" s="975" t="s">
        <v>819</v>
      </c>
      <c r="UUJ97" s="975" t="s">
        <v>819</v>
      </c>
      <c r="UUK97" s="975" t="s">
        <v>819</v>
      </c>
      <c r="UUL97" s="975" t="s">
        <v>819</v>
      </c>
      <c r="UUM97" s="975" t="s">
        <v>819</v>
      </c>
      <c r="UUN97" s="975" t="s">
        <v>819</v>
      </c>
      <c r="UUO97" s="975" t="s">
        <v>819</v>
      </c>
      <c r="UUP97" s="975" t="s">
        <v>819</v>
      </c>
      <c r="UUQ97" s="975" t="s">
        <v>819</v>
      </c>
      <c r="UUR97" s="975" t="s">
        <v>819</v>
      </c>
      <c r="UUS97" s="975" t="s">
        <v>819</v>
      </c>
      <c r="UUT97" s="975" t="s">
        <v>819</v>
      </c>
      <c r="UUU97" s="975" t="s">
        <v>819</v>
      </c>
      <c r="UUV97" s="975" t="s">
        <v>819</v>
      </c>
      <c r="UUW97" s="975" t="s">
        <v>819</v>
      </c>
      <c r="UUX97" s="975" t="s">
        <v>819</v>
      </c>
      <c r="UUY97" s="975" t="s">
        <v>819</v>
      </c>
      <c r="UUZ97" s="975" t="s">
        <v>819</v>
      </c>
      <c r="UVA97" s="975" t="s">
        <v>819</v>
      </c>
      <c r="UVB97" s="975" t="s">
        <v>819</v>
      </c>
      <c r="UVC97" s="975" t="s">
        <v>819</v>
      </c>
      <c r="UVD97" s="975" t="s">
        <v>819</v>
      </c>
      <c r="UVE97" s="975" t="s">
        <v>819</v>
      </c>
      <c r="UVF97" s="975" t="s">
        <v>819</v>
      </c>
      <c r="UVG97" s="975" t="s">
        <v>819</v>
      </c>
      <c r="UVH97" s="975" t="s">
        <v>819</v>
      </c>
      <c r="UVI97" s="975" t="s">
        <v>819</v>
      </c>
      <c r="UVJ97" s="975" t="s">
        <v>819</v>
      </c>
      <c r="UVK97" s="975" t="s">
        <v>819</v>
      </c>
      <c r="UVL97" s="975" t="s">
        <v>819</v>
      </c>
      <c r="UVM97" s="975" t="s">
        <v>819</v>
      </c>
      <c r="UVN97" s="975" t="s">
        <v>819</v>
      </c>
      <c r="UVO97" s="975" t="s">
        <v>819</v>
      </c>
      <c r="UVP97" s="975" t="s">
        <v>819</v>
      </c>
      <c r="UVQ97" s="975" t="s">
        <v>819</v>
      </c>
      <c r="UVR97" s="975" t="s">
        <v>819</v>
      </c>
      <c r="UVS97" s="975" t="s">
        <v>819</v>
      </c>
      <c r="UVT97" s="975" t="s">
        <v>819</v>
      </c>
      <c r="UVU97" s="975" t="s">
        <v>819</v>
      </c>
      <c r="UVV97" s="975" t="s">
        <v>819</v>
      </c>
      <c r="UVW97" s="975" t="s">
        <v>819</v>
      </c>
      <c r="UVX97" s="975" t="s">
        <v>819</v>
      </c>
      <c r="UVY97" s="975" t="s">
        <v>819</v>
      </c>
      <c r="UVZ97" s="975" t="s">
        <v>819</v>
      </c>
      <c r="UWA97" s="975" t="s">
        <v>819</v>
      </c>
      <c r="UWB97" s="975" t="s">
        <v>819</v>
      </c>
      <c r="UWC97" s="975" t="s">
        <v>819</v>
      </c>
      <c r="UWD97" s="975" t="s">
        <v>819</v>
      </c>
      <c r="UWE97" s="975" t="s">
        <v>819</v>
      </c>
      <c r="UWF97" s="975" t="s">
        <v>819</v>
      </c>
      <c r="UWG97" s="975" t="s">
        <v>819</v>
      </c>
      <c r="UWH97" s="975" t="s">
        <v>819</v>
      </c>
      <c r="UWI97" s="975" t="s">
        <v>819</v>
      </c>
      <c r="UWJ97" s="975" t="s">
        <v>819</v>
      </c>
      <c r="UWK97" s="975" t="s">
        <v>819</v>
      </c>
      <c r="UWL97" s="975" t="s">
        <v>819</v>
      </c>
      <c r="UWM97" s="975" t="s">
        <v>819</v>
      </c>
      <c r="UWN97" s="975" t="s">
        <v>819</v>
      </c>
      <c r="UWO97" s="975" t="s">
        <v>819</v>
      </c>
      <c r="UWP97" s="975" t="s">
        <v>819</v>
      </c>
      <c r="UWQ97" s="975" t="s">
        <v>819</v>
      </c>
      <c r="UWR97" s="975" t="s">
        <v>819</v>
      </c>
      <c r="UWS97" s="975" t="s">
        <v>819</v>
      </c>
      <c r="UWT97" s="975" t="s">
        <v>819</v>
      </c>
      <c r="UWU97" s="975" t="s">
        <v>819</v>
      </c>
      <c r="UWV97" s="975" t="s">
        <v>819</v>
      </c>
      <c r="UWW97" s="975" t="s">
        <v>819</v>
      </c>
      <c r="UWX97" s="975" t="s">
        <v>819</v>
      </c>
      <c r="UWY97" s="975" t="s">
        <v>819</v>
      </c>
      <c r="UWZ97" s="975" t="s">
        <v>819</v>
      </c>
      <c r="UXA97" s="975" t="s">
        <v>819</v>
      </c>
      <c r="UXB97" s="975" t="s">
        <v>819</v>
      </c>
      <c r="UXC97" s="975" t="s">
        <v>819</v>
      </c>
      <c r="UXD97" s="975" t="s">
        <v>819</v>
      </c>
      <c r="UXE97" s="975" t="s">
        <v>819</v>
      </c>
      <c r="UXF97" s="975" t="s">
        <v>819</v>
      </c>
      <c r="UXG97" s="975" t="s">
        <v>819</v>
      </c>
      <c r="UXH97" s="975" t="s">
        <v>819</v>
      </c>
      <c r="UXI97" s="975" t="s">
        <v>819</v>
      </c>
      <c r="UXJ97" s="975" t="s">
        <v>819</v>
      </c>
      <c r="UXK97" s="975" t="s">
        <v>819</v>
      </c>
      <c r="UXL97" s="975" t="s">
        <v>819</v>
      </c>
      <c r="UXM97" s="975" t="s">
        <v>819</v>
      </c>
      <c r="UXN97" s="975" t="s">
        <v>819</v>
      </c>
      <c r="UXO97" s="975" t="s">
        <v>819</v>
      </c>
      <c r="UXP97" s="975" t="s">
        <v>819</v>
      </c>
      <c r="UXQ97" s="975" t="s">
        <v>819</v>
      </c>
      <c r="UXR97" s="975" t="s">
        <v>819</v>
      </c>
      <c r="UXS97" s="975" t="s">
        <v>819</v>
      </c>
      <c r="UXT97" s="975" t="s">
        <v>819</v>
      </c>
      <c r="UXU97" s="975" t="s">
        <v>819</v>
      </c>
      <c r="UXV97" s="975" t="s">
        <v>819</v>
      </c>
      <c r="UXW97" s="975" t="s">
        <v>819</v>
      </c>
      <c r="UXX97" s="975" t="s">
        <v>819</v>
      </c>
      <c r="UXY97" s="975" t="s">
        <v>819</v>
      </c>
      <c r="UXZ97" s="975" t="s">
        <v>819</v>
      </c>
      <c r="UYA97" s="975" t="s">
        <v>819</v>
      </c>
      <c r="UYB97" s="975" t="s">
        <v>819</v>
      </c>
      <c r="UYC97" s="975" t="s">
        <v>819</v>
      </c>
      <c r="UYD97" s="975" t="s">
        <v>819</v>
      </c>
      <c r="UYE97" s="975" t="s">
        <v>819</v>
      </c>
      <c r="UYF97" s="975" t="s">
        <v>819</v>
      </c>
      <c r="UYG97" s="975" t="s">
        <v>819</v>
      </c>
      <c r="UYH97" s="975" t="s">
        <v>819</v>
      </c>
      <c r="UYI97" s="975" t="s">
        <v>819</v>
      </c>
      <c r="UYJ97" s="975" t="s">
        <v>819</v>
      </c>
      <c r="UYK97" s="975" t="s">
        <v>819</v>
      </c>
      <c r="UYL97" s="975" t="s">
        <v>819</v>
      </c>
      <c r="UYM97" s="975" t="s">
        <v>819</v>
      </c>
      <c r="UYN97" s="975" t="s">
        <v>819</v>
      </c>
      <c r="UYO97" s="975" t="s">
        <v>819</v>
      </c>
      <c r="UYP97" s="975" t="s">
        <v>819</v>
      </c>
      <c r="UYQ97" s="975" t="s">
        <v>819</v>
      </c>
      <c r="UYR97" s="975" t="s">
        <v>819</v>
      </c>
      <c r="UYS97" s="975" t="s">
        <v>819</v>
      </c>
      <c r="UYT97" s="975" t="s">
        <v>819</v>
      </c>
      <c r="UYU97" s="975" t="s">
        <v>819</v>
      </c>
      <c r="UYV97" s="975" t="s">
        <v>819</v>
      </c>
      <c r="UYW97" s="975" t="s">
        <v>819</v>
      </c>
      <c r="UYX97" s="975" t="s">
        <v>819</v>
      </c>
      <c r="UYY97" s="975" t="s">
        <v>819</v>
      </c>
      <c r="UYZ97" s="975" t="s">
        <v>819</v>
      </c>
      <c r="UZA97" s="975" t="s">
        <v>819</v>
      </c>
      <c r="UZB97" s="975" t="s">
        <v>819</v>
      </c>
      <c r="UZC97" s="975" t="s">
        <v>819</v>
      </c>
      <c r="UZD97" s="975" t="s">
        <v>819</v>
      </c>
      <c r="UZE97" s="975" t="s">
        <v>819</v>
      </c>
      <c r="UZF97" s="975" t="s">
        <v>819</v>
      </c>
      <c r="UZG97" s="975" t="s">
        <v>819</v>
      </c>
      <c r="UZH97" s="975" t="s">
        <v>819</v>
      </c>
      <c r="UZI97" s="975" t="s">
        <v>819</v>
      </c>
      <c r="UZJ97" s="975" t="s">
        <v>819</v>
      </c>
      <c r="UZK97" s="975" t="s">
        <v>819</v>
      </c>
      <c r="UZL97" s="975" t="s">
        <v>819</v>
      </c>
      <c r="UZM97" s="975" t="s">
        <v>819</v>
      </c>
      <c r="UZN97" s="975" t="s">
        <v>819</v>
      </c>
      <c r="UZO97" s="975" t="s">
        <v>819</v>
      </c>
      <c r="UZP97" s="975" t="s">
        <v>819</v>
      </c>
      <c r="UZQ97" s="975" t="s">
        <v>819</v>
      </c>
      <c r="UZR97" s="975" t="s">
        <v>819</v>
      </c>
      <c r="UZS97" s="975" t="s">
        <v>819</v>
      </c>
      <c r="UZT97" s="975" t="s">
        <v>819</v>
      </c>
      <c r="UZU97" s="975" t="s">
        <v>819</v>
      </c>
      <c r="UZV97" s="975" t="s">
        <v>819</v>
      </c>
      <c r="UZW97" s="975" t="s">
        <v>819</v>
      </c>
      <c r="UZX97" s="975" t="s">
        <v>819</v>
      </c>
      <c r="UZY97" s="975" t="s">
        <v>819</v>
      </c>
      <c r="UZZ97" s="975" t="s">
        <v>819</v>
      </c>
      <c r="VAA97" s="975" t="s">
        <v>819</v>
      </c>
      <c r="VAB97" s="975" t="s">
        <v>819</v>
      </c>
      <c r="VAC97" s="975" t="s">
        <v>819</v>
      </c>
      <c r="VAD97" s="975" t="s">
        <v>819</v>
      </c>
      <c r="VAE97" s="975" t="s">
        <v>819</v>
      </c>
      <c r="VAF97" s="975" t="s">
        <v>819</v>
      </c>
      <c r="VAG97" s="975" t="s">
        <v>819</v>
      </c>
      <c r="VAH97" s="975" t="s">
        <v>819</v>
      </c>
      <c r="VAI97" s="975" t="s">
        <v>819</v>
      </c>
      <c r="VAJ97" s="975" t="s">
        <v>819</v>
      </c>
      <c r="VAK97" s="975" t="s">
        <v>819</v>
      </c>
      <c r="VAL97" s="975" t="s">
        <v>819</v>
      </c>
      <c r="VAM97" s="975" t="s">
        <v>819</v>
      </c>
      <c r="VAN97" s="975" t="s">
        <v>819</v>
      </c>
      <c r="VAO97" s="975" t="s">
        <v>819</v>
      </c>
      <c r="VAP97" s="975" t="s">
        <v>819</v>
      </c>
      <c r="VAQ97" s="975" t="s">
        <v>819</v>
      </c>
      <c r="VAR97" s="975" t="s">
        <v>819</v>
      </c>
      <c r="VAS97" s="975" t="s">
        <v>819</v>
      </c>
      <c r="VAT97" s="975" t="s">
        <v>819</v>
      </c>
      <c r="VAU97" s="975" t="s">
        <v>819</v>
      </c>
      <c r="VAV97" s="975" t="s">
        <v>819</v>
      </c>
      <c r="VAW97" s="975" t="s">
        <v>819</v>
      </c>
      <c r="VAX97" s="975" t="s">
        <v>819</v>
      </c>
      <c r="VAY97" s="975" t="s">
        <v>819</v>
      </c>
      <c r="VAZ97" s="975" t="s">
        <v>819</v>
      </c>
      <c r="VBA97" s="975" t="s">
        <v>819</v>
      </c>
      <c r="VBB97" s="975" t="s">
        <v>819</v>
      </c>
      <c r="VBC97" s="975" t="s">
        <v>819</v>
      </c>
      <c r="VBD97" s="975" t="s">
        <v>819</v>
      </c>
      <c r="VBE97" s="975" t="s">
        <v>819</v>
      </c>
      <c r="VBF97" s="975" t="s">
        <v>819</v>
      </c>
      <c r="VBG97" s="975" t="s">
        <v>819</v>
      </c>
      <c r="VBH97" s="975" t="s">
        <v>819</v>
      </c>
      <c r="VBI97" s="975" t="s">
        <v>819</v>
      </c>
      <c r="VBJ97" s="975" t="s">
        <v>819</v>
      </c>
      <c r="VBK97" s="975" t="s">
        <v>819</v>
      </c>
      <c r="VBL97" s="975" t="s">
        <v>819</v>
      </c>
      <c r="VBM97" s="975" t="s">
        <v>819</v>
      </c>
      <c r="VBN97" s="975" t="s">
        <v>819</v>
      </c>
      <c r="VBO97" s="975" t="s">
        <v>819</v>
      </c>
      <c r="VBP97" s="975" t="s">
        <v>819</v>
      </c>
      <c r="VBQ97" s="975" t="s">
        <v>819</v>
      </c>
      <c r="VBR97" s="975" t="s">
        <v>819</v>
      </c>
      <c r="VBS97" s="975" t="s">
        <v>819</v>
      </c>
      <c r="VBT97" s="975" t="s">
        <v>819</v>
      </c>
      <c r="VBU97" s="975" t="s">
        <v>819</v>
      </c>
      <c r="VBV97" s="975" t="s">
        <v>819</v>
      </c>
      <c r="VBW97" s="975" t="s">
        <v>819</v>
      </c>
      <c r="VBX97" s="975" t="s">
        <v>819</v>
      </c>
      <c r="VBY97" s="975" t="s">
        <v>819</v>
      </c>
      <c r="VBZ97" s="975" t="s">
        <v>819</v>
      </c>
      <c r="VCA97" s="975" t="s">
        <v>819</v>
      </c>
      <c r="VCB97" s="975" t="s">
        <v>819</v>
      </c>
      <c r="VCC97" s="975" t="s">
        <v>819</v>
      </c>
      <c r="VCD97" s="975" t="s">
        <v>819</v>
      </c>
      <c r="VCE97" s="975" t="s">
        <v>819</v>
      </c>
      <c r="VCF97" s="975" t="s">
        <v>819</v>
      </c>
      <c r="VCG97" s="975" t="s">
        <v>819</v>
      </c>
      <c r="VCH97" s="975" t="s">
        <v>819</v>
      </c>
      <c r="VCI97" s="975" t="s">
        <v>819</v>
      </c>
      <c r="VCJ97" s="975" t="s">
        <v>819</v>
      </c>
      <c r="VCK97" s="975" t="s">
        <v>819</v>
      </c>
      <c r="VCL97" s="975" t="s">
        <v>819</v>
      </c>
      <c r="VCM97" s="975" t="s">
        <v>819</v>
      </c>
      <c r="VCN97" s="975" t="s">
        <v>819</v>
      </c>
      <c r="VCO97" s="975" t="s">
        <v>819</v>
      </c>
      <c r="VCP97" s="975" t="s">
        <v>819</v>
      </c>
      <c r="VCQ97" s="975" t="s">
        <v>819</v>
      </c>
      <c r="VCR97" s="975" t="s">
        <v>819</v>
      </c>
      <c r="VCS97" s="975" t="s">
        <v>819</v>
      </c>
      <c r="VCT97" s="975" t="s">
        <v>819</v>
      </c>
      <c r="VCU97" s="975" t="s">
        <v>819</v>
      </c>
      <c r="VCV97" s="975" t="s">
        <v>819</v>
      </c>
      <c r="VCW97" s="975" t="s">
        <v>819</v>
      </c>
      <c r="VCX97" s="975" t="s">
        <v>819</v>
      </c>
      <c r="VCY97" s="975" t="s">
        <v>819</v>
      </c>
      <c r="VCZ97" s="975" t="s">
        <v>819</v>
      </c>
      <c r="VDA97" s="975" t="s">
        <v>819</v>
      </c>
      <c r="VDB97" s="975" t="s">
        <v>819</v>
      </c>
      <c r="VDC97" s="975" t="s">
        <v>819</v>
      </c>
      <c r="VDD97" s="975" t="s">
        <v>819</v>
      </c>
      <c r="VDE97" s="975" t="s">
        <v>819</v>
      </c>
      <c r="VDF97" s="975" t="s">
        <v>819</v>
      </c>
      <c r="VDG97" s="975" t="s">
        <v>819</v>
      </c>
      <c r="VDH97" s="975" t="s">
        <v>819</v>
      </c>
      <c r="VDI97" s="975" t="s">
        <v>819</v>
      </c>
      <c r="VDJ97" s="975" t="s">
        <v>819</v>
      </c>
      <c r="VDK97" s="975" t="s">
        <v>819</v>
      </c>
      <c r="VDL97" s="975" t="s">
        <v>819</v>
      </c>
      <c r="VDM97" s="975" t="s">
        <v>819</v>
      </c>
      <c r="VDN97" s="975" t="s">
        <v>819</v>
      </c>
      <c r="VDO97" s="975" t="s">
        <v>819</v>
      </c>
      <c r="VDP97" s="975" t="s">
        <v>819</v>
      </c>
      <c r="VDQ97" s="975" t="s">
        <v>819</v>
      </c>
      <c r="VDR97" s="975" t="s">
        <v>819</v>
      </c>
      <c r="VDS97" s="975" t="s">
        <v>819</v>
      </c>
      <c r="VDT97" s="975" t="s">
        <v>819</v>
      </c>
      <c r="VDU97" s="975" t="s">
        <v>819</v>
      </c>
      <c r="VDV97" s="975" t="s">
        <v>819</v>
      </c>
      <c r="VDW97" s="975" t="s">
        <v>819</v>
      </c>
      <c r="VDX97" s="975" t="s">
        <v>819</v>
      </c>
      <c r="VDY97" s="975" t="s">
        <v>819</v>
      </c>
      <c r="VDZ97" s="975" t="s">
        <v>819</v>
      </c>
      <c r="VEA97" s="975" t="s">
        <v>819</v>
      </c>
      <c r="VEB97" s="975" t="s">
        <v>819</v>
      </c>
      <c r="VEC97" s="975" t="s">
        <v>819</v>
      </c>
      <c r="VED97" s="975" t="s">
        <v>819</v>
      </c>
      <c r="VEE97" s="975" t="s">
        <v>819</v>
      </c>
      <c r="VEF97" s="975" t="s">
        <v>819</v>
      </c>
      <c r="VEG97" s="975" t="s">
        <v>819</v>
      </c>
      <c r="VEH97" s="975" t="s">
        <v>819</v>
      </c>
      <c r="VEI97" s="975" t="s">
        <v>819</v>
      </c>
      <c r="VEJ97" s="975" t="s">
        <v>819</v>
      </c>
      <c r="VEK97" s="975" t="s">
        <v>819</v>
      </c>
      <c r="VEL97" s="975" t="s">
        <v>819</v>
      </c>
      <c r="VEM97" s="975" t="s">
        <v>819</v>
      </c>
      <c r="VEN97" s="975" t="s">
        <v>819</v>
      </c>
      <c r="VEO97" s="975" t="s">
        <v>819</v>
      </c>
      <c r="VEP97" s="975" t="s">
        <v>819</v>
      </c>
      <c r="VEQ97" s="975" t="s">
        <v>819</v>
      </c>
      <c r="VER97" s="975" t="s">
        <v>819</v>
      </c>
      <c r="VES97" s="975" t="s">
        <v>819</v>
      </c>
      <c r="VET97" s="975" t="s">
        <v>819</v>
      </c>
      <c r="VEU97" s="975" t="s">
        <v>819</v>
      </c>
      <c r="VEV97" s="975" t="s">
        <v>819</v>
      </c>
      <c r="VEW97" s="975" t="s">
        <v>819</v>
      </c>
      <c r="VEX97" s="975" t="s">
        <v>819</v>
      </c>
      <c r="VEY97" s="975" t="s">
        <v>819</v>
      </c>
      <c r="VEZ97" s="975" t="s">
        <v>819</v>
      </c>
      <c r="VFA97" s="975" t="s">
        <v>819</v>
      </c>
      <c r="VFB97" s="975" t="s">
        <v>819</v>
      </c>
      <c r="VFC97" s="975" t="s">
        <v>819</v>
      </c>
      <c r="VFD97" s="975" t="s">
        <v>819</v>
      </c>
      <c r="VFE97" s="975" t="s">
        <v>819</v>
      </c>
      <c r="VFF97" s="975" t="s">
        <v>819</v>
      </c>
      <c r="VFG97" s="975" t="s">
        <v>819</v>
      </c>
      <c r="VFH97" s="975" t="s">
        <v>819</v>
      </c>
      <c r="VFI97" s="975" t="s">
        <v>819</v>
      </c>
      <c r="VFJ97" s="975" t="s">
        <v>819</v>
      </c>
      <c r="VFK97" s="975" t="s">
        <v>819</v>
      </c>
      <c r="VFL97" s="975" t="s">
        <v>819</v>
      </c>
      <c r="VFM97" s="975" t="s">
        <v>819</v>
      </c>
      <c r="VFN97" s="975" t="s">
        <v>819</v>
      </c>
      <c r="VFO97" s="975" t="s">
        <v>819</v>
      </c>
      <c r="VFP97" s="975" t="s">
        <v>819</v>
      </c>
      <c r="VFQ97" s="975" t="s">
        <v>819</v>
      </c>
      <c r="VFR97" s="975" t="s">
        <v>819</v>
      </c>
      <c r="VFS97" s="975" t="s">
        <v>819</v>
      </c>
      <c r="VFT97" s="975" t="s">
        <v>819</v>
      </c>
      <c r="VFU97" s="975" t="s">
        <v>819</v>
      </c>
      <c r="VFV97" s="975" t="s">
        <v>819</v>
      </c>
      <c r="VFW97" s="975" t="s">
        <v>819</v>
      </c>
      <c r="VFX97" s="975" t="s">
        <v>819</v>
      </c>
      <c r="VFY97" s="975" t="s">
        <v>819</v>
      </c>
      <c r="VFZ97" s="975" t="s">
        <v>819</v>
      </c>
      <c r="VGA97" s="975" t="s">
        <v>819</v>
      </c>
      <c r="VGB97" s="975" t="s">
        <v>819</v>
      </c>
      <c r="VGC97" s="975" t="s">
        <v>819</v>
      </c>
      <c r="VGD97" s="975" t="s">
        <v>819</v>
      </c>
      <c r="VGE97" s="975" t="s">
        <v>819</v>
      </c>
      <c r="VGF97" s="975" t="s">
        <v>819</v>
      </c>
      <c r="VGG97" s="975" t="s">
        <v>819</v>
      </c>
      <c r="VGH97" s="975" t="s">
        <v>819</v>
      </c>
      <c r="VGI97" s="975" t="s">
        <v>819</v>
      </c>
      <c r="VGJ97" s="975" t="s">
        <v>819</v>
      </c>
      <c r="VGK97" s="975" t="s">
        <v>819</v>
      </c>
      <c r="VGL97" s="975" t="s">
        <v>819</v>
      </c>
      <c r="VGM97" s="975" t="s">
        <v>819</v>
      </c>
      <c r="VGN97" s="975" t="s">
        <v>819</v>
      </c>
      <c r="VGO97" s="975" t="s">
        <v>819</v>
      </c>
      <c r="VGP97" s="975" t="s">
        <v>819</v>
      </c>
      <c r="VGQ97" s="975" t="s">
        <v>819</v>
      </c>
      <c r="VGR97" s="975" t="s">
        <v>819</v>
      </c>
      <c r="VGS97" s="975" t="s">
        <v>819</v>
      </c>
      <c r="VGT97" s="975" t="s">
        <v>819</v>
      </c>
      <c r="VGU97" s="975" t="s">
        <v>819</v>
      </c>
      <c r="VGV97" s="975" t="s">
        <v>819</v>
      </c>
      <c r="VGW97" s="975" t="s">
        <v>819</v>
      </c>
      <c r="VGX97" s="975" t="s">
        <v>819</v>
      </c>
      <c r="VGY97" s="975" t="s">
        <v>819</v>
      </c>
      <c r="VGZ97" s="975" t="s">
        <v>819</v>
      </c>
      <c r="VHA97" s="975" t="s">
        <v>819</v>
      </c>
      <c r="VHB97" s="975" t="s">
        <v>819</v>
      </c>
      <c r="VHC97" s="975" t="s">
        <v>819</v>
      </c>
      <c r="VHD97" s="975" t="s">
        <v>819</v>
      </c>
      <c r="VHE97" s="975" t="s">
        <v>819</v>
      </c>
      <c r="VHF97" s="975" t="s">
        <v>819</v>
      </c>
      <c r="VHG97" s="975" t="s">
        <v>819</v>
      </c>
      <c r="VHH97" s="975" t="s">
        <v>819</v>
      </c>
      <c r="VHI97" s="975" t="s">
        <v>819</v>
      </c>
      <c r="VHJ97" s="975" t="s">
        <v>819</v>
      </c>
      <c r="VHK97" s="975" t="s">
        <v>819</v>
      </c>
      <c r="VHL97" s="975" t="s">
        <v>819</v>
      </c>
      <c r="VHM97" s="975" t="s">
        <v>819</v>
      </c>
      <c r="VHN97" s="975" t="s">
        <v>819</v>
      </c>
      <c r="VHO97" s="975" t="s">
        <v>819</v>
      </c>
      <c r="VHP97" s="975" t="s">
        <v>819</v>
      </c>
      <c r="VHQ97" s="975" t="s">
        <v>819</v>
      </c>
      <c r="VHR97" s="975" t="s">
        <v>819</v>
      </c>
      <c r="VHS97" s="975" t="s">
        <v>819</v>
      </c>
      <c r="VHT97" s="975" t="s">
        <v>819</v>
      </c>
      <c r="VHU97" s="975" t="s">
        <v>819</v>
      </c>
      <c r="VHV97" s="975" t="s">
        <v>819</v>
      </c>
      <c r="VHW97" s="975" t="s">
        <v>819</v>
      </c>
      <c r="VHX97" s="975" t="s">
        <v>819</v>
      </c>
      <c r="VHY97" s="975" t="s">
        <v>819</v>
      </c>
      <c r="VHZ97" s="975" t="s">
        <v>819</v>
      </c>
      <c r="VIA97" s="975" t="s">
        <v>819</v>
      </c>
      <c r="VIB97" s="975" t="s">
        <v>819</v>
      </c>
      <c r="VIC97" s="975" t="s">
        <v>819</v>
      </c>
      <c r="VID97" s="975" t="s">
        <v>819</v>
      </c>
      <c r="VIE97" s="975" t="s">
        <v>819</v>
      </c>
      <c r="VIF97" s="975" t="s">
        <v>819</v>
      </c>
      <c r="VIG97" s="975" t="s">
        <v>819</v>
      </c>
      <c r="VIH97" s="975" t="s">
        <v>819</v>
      </c>
      <c r="VII97" s="975" t="s">
        <v>819</v>
      </c>
      <c r="VIJ97" s="975" t="s">
        <v>819</v>
      </c>
      <c r="VIK97" s="975" t="s">
        <v>819</v>
      </c>
      <c r="VIL97" s="975" t="s">
        <v>819</v>
      </c>
      <c r="VIM97" s="975" t="s">
        <v>819</v>
      </c>
      <c r="VIN97" s="975" t="s">
        <v>819</v>
      </c>
      <c r="VIO97" s="975" t="s">
        <v>819</v>
      </c>
      <c r="VIP97" s="975" t="s">
        <v>819</v>
      </c>
      <c r="VIQ97" s="975" t="s">
        <v>819</v>
      </c>
      <c r="VIR97" s="975" t="s">
        <v>819</v>
      </c>
      <c r="VIS97" s="975" t="s">
        <v>819</v>
      </c>
      <c r="VIT97" s="975" t="s">
        <v>819</v>
      </c>
      <c r="VIU97" s="975" t="s">
        <v>819</v>
      </c>
      <c r="VIV97" s="975" t="s">
        <v>819</v>
      </c>
      <c r="VIW97" s="975" t="s">
        <v>819</v>
      </c>
      <c r="VIX97" s="975" t="s">
        <v>819</v>
      </c>
      <c r="VIY97" s="975" t="s">
        <v>819</v>
      </c>
      <c r="VIZ97" s="975" t="s">
        <v>819</v>
      </c>
      <c r="VJA97" s="975" t="s">
        <v>819</v>
      </c>
      <c r="VJB97" s="975" t="s">
        <v>819</v>
      </c>
      <c r="VJC97" s="975" t="s">
        <v>819</v>
      </c>
      <c r="VJD97" s="975" t="s">
        <v>819</v>
      </c>
      <c r="VJE97" s="975" t="s">
        <v>819</v>
      </c>
      <c r="VJF97" s="975" t="s">
        <v>819</v>
      </c>
      <c r="VJG97" s="975" t="s">
        <v>819</v>
      </c>
      <c r="VJH97" s="975" t="s">
        <v>819</v>
      </c>
      <c r="VJI97" s="975" t="s">
        <v>819</v>
      </c>
      <c r="VJJ97" s="975" t="s">
        <v>819</v>
      </c>
      <c r="VJK97" s="975" t="s">
        <v>819</v>
      </c>
      <c r="VJL97" s="975" t="s">
        <v>819</v>
      </c>
      <c r="VJM97" s="975" t="s">
        <v>819</v>
      </c>
      <c r="VJN97" s="975" t="s">
        <v>819</v>
      </c>
      <c r="VJO97" s="975" t="s">
        <v>819</v>
      </c>
      <c r="VJP97" s="975" t="s">
        <v>819</v>
      </c>
      <c r="VJQ97" s="975" t="s">
        <v>819</v>
      </c>
      <c r="VJR97" s="975" t="s">
        <v>819</v>
      </c>
      <c r="VJS97" s="975" t="s">
        <v>819</v>
      </c>
      <c r="VJT97" s="975" t="s">
        <v>819</v>
      </c>
      <c r="VJU97" s="975" t="s">
        <v>819</v>
      </c>
      <c r="VJV97" s="975" t="s">
        <v>819</v>
      </c>
      <c r="VJW97" s="975" t="s">
        <v>819</v>
      </c>
      <c r="VJX97" s="975" t="s">
        <v>819</v>
      </c>
      <c r="VJY97" s="975" t="s">
        <v>819</v>
      </c>
      <c r="VJZ97" s="975" t="s">
        <v>819</v>
      </c>
      <c r="VKA97" s="975" t="s">
        <v>819</v>
      </c>
      <c r="VKB97" s="975" t="s">
        <v>819</v>
      </c>
      <c r="VKC97" s="975" t="s">
        <v>819</v>
      </c>
      <c r="VKD97" s="975" t="s">
        <v>819</v>
      </c>
      <c r="VKE97" s="975" t="s">
        <v>819</v>
      </c>
      <c r="VKF97" s="975" t="s">
        <v>819</v>
      </c>
      <c r="VKG97" s="975" t="s">
        <v>819</v>
      </c>
      <c r="VKH97" s="975" t="s">
        <v>819</v>
      </c>
      <c r="VKI97" s="975" t="s">
        <v>819</v>
      </c>
      <c r="VKJ97" s="975" t="s">
        <v>819</v>
      </c>
      <c r="VKK97" s="975" t="s">
        <v>819</v>
      </c>
      <c r="VKL97" s="975" t="s">
        <v>819</v>
      </c>
      <c r="VKM97" s="975" t="s">
        <v>819</v>
      </c>
      <c r="VKN97" s="975" t="s">
        <v>819</v>
      </c>
      <c r="VKO97" s="975" t="s">
        <v>819</v>
      </c>
      <c r="VKP97" s="975" t="s">
        <v>819</v>
      </c>
      <c r="VKQ97" s="975" t="s">
        <v>819</v>
      </c>
      <c r="VKR97" s="975" t="s">
        <v>819</v>
      </c>
      <c r="VKS97" s="975" t="s">
        <v>819</v>
      </c>
      <c r="VKT97" s="975" t="s">
        <v>819</v>
      </c>
      <c r="VKU97" s="975" t="s">
        <v>819</v>
      </c>
      <c r="VKV97" s="975" t="s">
        <v>819</v>
      </c>
      <c r="VKW97" s="975" t="s">
        <v>819</v>
      </c>
      <c r="VKX97" s="975" t="s">
        <v>819</v>
      </c>
      <c r="VKY97" s="975" t="s">
        <v>819</v>
      </c>
      <c r="VKZ97" s="975" t="s">
        <v>819</v>
      </c>
      <c r="VLA97" s="975" t="s">
        <v>819</v>
      </c>
      <c r="VLB97" s="975" t="s">
        <v>819</v>
      </c>
      <c r="VLC97" s="975" t="s">
        <v>819</v>
      </c>
      <c r="VLD97" s="975" t="s">
        <v>819</v>
      </c>
      <c r="VLE97" s="975" t="s">
        <v>819</v>
      </c>
      <c r="VLF97" s="975" t="s">
        <v>819</v>
      </c>
      <c r="VLG97" s="975" t="s">
        <v>819</v>
      </c>
      <c r="VLH97" s="975" t="s">
        <v>819</v>
      </c>
      <c r="VLI97" s="975" t="s">
        <v>819</v>
      </c>
      <c r="VLJ97" s="975" t="s">
        <v>819</v>
      </c>
      <c r="VLK97" s="975" t="s">
        <v>819</v>
      </c>
      <c r="VLL97" s="975" t="s">
        <v>819</v>
      </c>
      <c r="VLM97" s="975" t="s">
        <v>819</v>
      </c>
      <c r="VLN97" s="975" t="s">
        <v>819</v>
      </c>
      <c r="VLO97" s="975" t="s">
        <v>819</v>
      </c>
      <c r="VLP97" s="975" t="s">
        <v>819</v>
      </c>
      <c r="VLQ97" s="975" t="s">
        <v>819</v>
      </c>
      <c r="VLR97" s="975" t="s">
        <v>819</v>
      </c>
      <c r="VLS97" s="975" t="s">
        <v>819</v>
      </c>
      <c r="VLT97" s="975" t="s">
        <v>819</v>
      </c>
      <c r="VLU97" s="975" t="s">
        <v>819</v>
      </c>
      <c r="VLV97" s="975" t="s">
        <v>819</v>
      </c>
      <c r="VLW97" s="975" t="s">
        <v>819</v>
      </c>
      <c r="VLX97" s="975" t="s">
        <v>819</v>
      </c>
      <c r="VLY97" s="975" t="s">
        <v>819</v>
      </c>
      <c r="VLZ97" s="975" t="s">
        <v>819</v>
      </c>
      <c r="VMA97" s="975" t="s">
        <v>819</v>
      </c>
      <c r="VMB97" s="975" t="s">
        <v>819</v>
      </c>
      <c r="VMC97" s="975" t="s">
        <v>819</v>
      </c>
      <c r="VMD97" s="975" t="s">
        <v>819</v>
      </c>
      <c r="VME97" s="975" t="s">
        <v>819</v>
      </c>
      <c r="VMF97" s="975" t="s">
        <v>819</v>
      </c>
      <c r="VMG97" s="975" t="s">
        <v>819</v>
      </c>
      <c r="VMH97" s="975" t="s">
        <v>819</v>
      </c>
      <c r="VMI97" s="975" t="s">
        <v>819</v>
      </c>
      <c r="VMJ97" s="975" t="s">
        <v>819</v>
      </c>
      <c r="VMK97" s="975" t="s">
        <v>819</v>
      </c>
      <c r="VML97" s="975" t="s">
        <v>819</v>
      </c>
      <c r="VMM97" s="975" t="s">
        <v>819</v>
      </c>
      <c r="VMN97" s="975" t="s">
        <v>819</v>
      </c>
      <c r="VMO97" s="975" t="s">
        <v>819</v>
      </c>
      <c r="VMP97" s="975" t="s">
        <v>819</v>
      </c>
      <c r="VMQ97" s="975" t="s">
        <v>819</v>
      </c>
      <c r="VMR97" s="975" t="s">
        <v>819</v>
      </c>
      <c r="VMS97" s="975" t="s">
        <v>819</v>
      </c>
      <c r="VMT97" s="975" t="s">
        <v>819</v>
      </c>
      <c r="VMU97" s="975" t="s">
        <v>819</v>
      </c>
      <c r="VMV97" s="975" t="s">
        <v>819</v>
      </c>
      <c r="VMW97" s="975" t="s">
        <v>819</v>
      </c>
      <c r="VMX97" s="975" t="s">
        <v>819</v>
      </c>
      <c r="VMY97" s="975" t="s">
        <v>819</v>
      </c>
      <c r="VMZ97" s="975" t="s">
        <v>819</v>
      </c>
      <c r="VNA97" s="975" t="s">
        <v>819</v>
      </c>
      <c r="VNB97" s="975" t="s">
        <v>819</v>
      </c>
      <c r="VNC97" s="975" t="s">
        <v>819</v>
      </c>
      <c r="VND97" s="975" t="s">
        <v>819</v>
      </c>
      <c r="VNE97" s="975" t="s">
        <v>819</v>
      </c>
      <c r="VNF97" s="975" t="s">
        <v>819</v>
      </c>
      <c r="VNG97" s="975" t="s">
        <v>819</v>
      </c>
      <c r="VNH97" s="975" t="s">
        <v>819</v>
      </c>
      <c r="VNI97" s="975" t="s">
        <v>819</v>
      </c>
      <c r="VNJ97" s="975" t="s">
        <v>819</v>
      </c>
      <c r="VNK97" s="975" t="s">
        <v>819</v>
      </c>
      <c r="VNL97" s="975" t="s">
        <v>819</v>
      </c>
      <c r="VNM97" s="975" t="s">
        <v>819</v>
      </c>
      <c r="VNN97" s="975" t="s">
        <v>819</v>
      </c>
      <c r="VNO97" s="975" t="s">
        <v>819</v>
      </c>
      <c r="VNP97" s="975" t="s">
        <v>819</v>
      </c>
      <c r="VNQ97" s="975" t="s">
        <v>819</v>
      </c>
      <c r="VNR97" s="975" t="s">
        <v>819</v>
      </c>
      <c r="VNS97" s="975" t="s">
        <v>819</v>
      </c>
      <c r="VNT97" s="975" t="s">
        <v>819</v>
      </c>
      <c r="VNU97" s="975" t="s">
        <v>819</v>
      </c>
      <c r="VNV97" s="975" t="s">
        <v>819</v>
      </c>
      <c r="VNW97" s="975" t="s">
        <v>819</v>
      </c>
      <c r="VNX97" s="975" t="s">
        <v>819</v>
      </c>
      <c r="VNY97" s="975" t="s">
        <v>819</v>
      </c>
      <c r="VNZ97" s="975" t="s">
        <v>819</v>
      </c>
      <c r="VOA97" s="975" t="s">
        <v>819</v>
      </c>
      <c r="VOB97" s="975" t="s">
        <v>819</v>
      </c>
      <c r="VOC97" s="975" t="s">
        <v>819</v>
      </c>
      <c r="VOD97" s="975" t="s">
        <v>819</v>
      </c>
      <c r="VOE97" s="975" t="s">
        <v>819</v>
      </c>
      <c r="VOF97" s="975" t="s">
        <v>819</v>
      </c>
      <c r="VOG97" s="975" t="s">
        <v>819</v>
      </c>
      <c r="VOH97" s="975" t="s">
        <v>819</v>
      </c>
      <c r="VOI97" s="975" t="s">
        <v>819</v>
      </c>
      <c r="VOJ97" s="975" t="s">
        <v>819</v>
      </c>
      <c r="VOK97" s="975" t="s">
        <v>819</v>
      </c>
      <c r="VOL97" s="975" t="s">
        <v>819</v>
      </c>
      <c r="VOM97" s="975" t="s">
        <v>819</v>
      </c>
      <c r="VON97" s="975" t="s">
        <v>819</v>
      </c>
      <c r="VOO97" s="975" t="s">
        <v>819</v>
      </c>
      <c r="VOP97" s="975" t="s">
        <v>819</v>
      </c>
      <c r="VOQ97" s="975" t="s">
        <v>819</v>
      </c>
      <c r="VOR97" s="975" t="s">
        <v>819</v>
      </c>
      <c r="VOS97" s="975" t="s">
        <v>819</v>
      </c>
      <c r="VOT97" s="975" t="s">
        <v>819</v>
      </c>
      <c r="VOU97" s="975" t="s">
        <v>819</v>
      </c>
      <c r="VOV97" s="975" t="s">
        <v>819</v>
      </c>
      <c r="VOW97" s="975" t="s">
        <v>819</v>
      </c>
      <c r="VOX97" s="975" t="s">
        <v>819</v>
      </c>
      <c r="VOY97" s="975" t="s">
        <v>819</v>
      </c>
      <c r="VOZ97" s="975" t="s">
        <v>819</v>
      </c>
      <c r="VPA97" s="975" t="s">
        <v>819</v>
      </c>
      <c r="VPB97" s="975" t="s">
        <v>819</v>
      </c>
      <c r="VPC97" s="975" t="s">
        <v>819</v>
      </c>
      <c r="VPD97" s="975" t="s">
        <v>819</v>
      </c>
      <c r="VPE97" s="975" t="s">
        <v>819</v>
      </c>
      <c r="VPF97" s="975" t="s">
        <v>819</v>
      </c>
      <c r="VPG97" s="975" t="s">
        <v>819</v>
      </c>
      <c r="VPH97" s="975" t="s">
        <v>819</v>
      </c>
      <c r="VPI97" s="975" t="s">
        <v>819</v>
      </c>
      <c r="VPJ97" s="975" t="s">
        <v>819</v>
      </c>
      <c r="VPK97" s="975" t="s">
        <v>819</v>
      </c>
      <c r="VPL97" s="975" t="s">
        <v>819</v>
      </c>
      <c r="VPM97" s="975" t="s">
        <v>819</v>
      </c>
      <c r="VPN97" s="975" t="s">
        <v>819</v>
      </c>
      <c r="VPO97" s="975" t="s">
        <v>819</v>
      </c>
      <c r="VPP97" s="975" t="s">
        <v>819</v>
      </c>
      <c r="VPQ97" s="975" t="s">
        <v>819</v>
      </c>
      <c r="VPR97" s="975" t="s">
        <v>819</v>
      </c>
      <c r="VPS97" s="975" t="s">
        <v>819</v>
      </c>
      <c r="VPT97" s="975" t="s">
        <v>819</v>
      </c>
      <c r="VPU97" s="975" t="s">
        <v>819</v>
      </c>
      <c r="VPV97" s="975" t="s">
        <v>819</v>
      </c>
      <c r="VPW97" s="975" t="s">
        <v>819</v>
      </c>
      <c r="VPX97" s="975" t="s">
        <v>819</v>
      </c>
      <c r="VPY97" s="975" t="s">
        <v>819</v>
      </c>
      <c r="VPZ97" s="975" t="s">
        <v>819</v>
      </c>
      <c r="VQA97" s="975" t="s">
        <v>819</v>
      </c>
      <c r="VQB97" s="975" t="s">
        <v>819</v>
      </c>
      <c r="VQC97" s="975" t="s">
        <v>819</v>
      </c>
      <c r="VQD97" s="975" t="s">
        <v>819</v>
      </c>
      <c r="VQE97" s="975" t="s">
        <v>819</v>
      </c>
      <c r="VQF97" s="975" t="s">
        <v>819</v>
      </c>
      <c r="VQG97" s="975" t="s">
        <v>819</v>
      </c>
      <c r="VQH97" s="975" t="s">
        <v>819</v>
      </c>
      <c r="VQI97" s="975" t="s">
        <v>819</v>
      </c>
      <c r="VQJ97" s="975" t="s">
        <v>819</v>
      </c>
      <c r="VQK97" s="975" t="s">
        <v>819</v>
      </c>
      <c r="VQL97" s="975" t="s">
        <v>819</v>
      </c>
      <c r="VQM97" s="975" t="s">
        <v>819</v>
      </c>
      <c r="VQN97" s="975" t="s">
        <v>819</v>
      </c>
      <c r="VQO97" s="975" t="s">
        <v>819</v>
      </c>
      <c r="VQP97" s="975" t="s">
        <v>819</v>
      </c>
      <c r="VQQ97" s="975" t="s">
        <v>819</v>
      </c>
      <c r="VQR97" s="975" t="s">
        <v>819</v>
      </c>
      <c r="VQS97" s="975" t="s">
        <v>819</v>
      </c>
      <c r="VQT97" s="975" t="s">
        <v>819</v>
      </c>
      <c r="VQU97" s="975" t="s">
        <v>819</v>
      </c>
      <c r="VQV97" s="975" t="s">
        <v>819</v>
      </c>
      <c r="VQW97" s="975" t="s">
        <v>819</v>
      </c>
      <c r="VQX97" s="975" t="s">
        <v>819</v>
      </c>
      <c r="VQY97" s="975" t="s">
        <v>819</v>
      </c>
      <c r="VQZ97" s="975" t="s">
        <v>819</v>
      </c>
      <c r="VRA97" s="975" t="s">
        <v>819</v>
      </c>
      <c r="VRB97" s="975" t="s">
        <v>819</v>
      </c>
      <c r="VRC97" s="975" t="s">
        <v>819</v>
      </c>
      <c r="VRD97" s="975" t="s">
        <v>819</v>
      </c>
      <c r="VRE97" s="975" t="s">
        <v>819</v>
      </c>
      <c r="VRF97" s="975" t="s">
        <v>819</v>
      </c>
      <c r="VRG97" s="975" t="s">
        <v>819</v>
      </c>
      <c r="VRH97" s="975" t="s">
        <v>819</v>
      </c>
      <c r="VRI97" s="975" t="s">
        <v>819</v>
      </c>
      <c r="VRJ97" s="975" t="s">
        <v>819</v>
      </c>
      <c r="VRK97" s="975" t="s">
        <v>819</v>
      </c>
      <c r="VRL97" s="975" t="s">
        <v>819</v>
      </c>
      <c r="VRM97" s="975" t="s">
        <v>819</v>
      </c>
      <c r="VRN97" s="975" t="s">
        <v>819</v>
      </c>
      <c r="VRO97" s="975" t="s">
        <v>819</v>
      </c>
      <c r="VRP97" s="975" t="s">
        <v>819</v>
      </c>
      <c r="VRQ97" s="975" t="s">
        <v>819</v>
      </c>
      <c r="VRR97" s="975" t="s">
        <v>819</v>
      </c>
      <c r="VRS97" s="975" t="s">
        <v>819</v>
      </c>
      <c r="VRT97" s="975" t="s">
        <v>819</v>
      </c>
      <c r="VRU97" s="975" t="s">
        <v>819</v>
      </c>
      <c r="VRV97" s="975" t="s">
        <v>819</v>
      </c>
      <c r="VRW97" s="975" t="s">
        <v>819</v>
      </c>
      <c r="VRX97" s="975" t="s">
        <v>819</v>
      </c>
      <c r="VRY97" s="975" t="s">
        <v>819</v>
      </c>
      <c r="VRZ97" s="975" t="s">
        <v>819</v>
      </c>
      <c r="VSA97" s="975" t="s">
        <v>819</v>
      </c>
      <c r="VSB97" s="975" t="s">
        <v>819</v>
      </c>
      <c r="VSC97" s="975" t="s">
        <v>819</v>
      </c>
      <c r="VSD97" s="975" t="s">
        <v>819</v>
      </c>
      <c r="VSE97" s="975" t="s">
        <v>819</v>
      </c>
      <c r="VSF97" s="975" t="s">
        <v>819</v>
      </c>
      <c r="VSG97" s="975" t="s">
        <v>819</v>
      </c>
      <c r="VSH97" s="975" t="s">
        <v>819</v>
      </c>
      <c r="VSI97" s="975" t="s">
        <v>819</v>
      </c>
      <c r="VSJ97" s="975" t="s">
        <v>819</v>
      </c>
      <c r="VSK97" s="975" t="s">
        <v>819</v>
      </c>
      <c r="VSL97" s="975" t="s">
        <v>819</v>
      </c>
      <c r="VSM97" s="975" t="s">
        <v>819</v>
      </c>
      <c r="VSN97" s="975" t="s">
        <v>819</v>
      </c>
      <c r="VSO97" s="975" t="s">
        <v>819</v>
      </c>
      <c r="VSP97" s="975" t="s">
        <v>819</v>
      </c>
      <c r="VSQ97" s="975" t="s">
        <v>819</v>
      </c>
      <c r="VSR97" s="975" t="s">
        <v>819</v>
      </c>
      <c r="VSS97" s="975" t="s">
        <v>819</v>
      </c>
      <c r="VST97" s="975" t="s">
        <v>819</v>
      </c>
      <c r="VSU97" s="975" t="s">
        <v>819</v>
      </c>
      <c r="VSV97" s="975" t="s">
        <v>819</v>
      </c>
      <c r="VSW97" s="975" t="s">
        <v>819</v>
      </c>
      <c r="VSX97" s="975" t="s">
        <v>819</v>
      </c>
      <c r="VSY97" s="975" t="s">
        <v>819</v>
      </c>
      <c r="VSZ97" s="975" t="s">
        <v>819</v>
      </c>
      <c r="VTA97" s="975" t="s">
        <v>819</v>
      </c>
      <c r="VTB97" s="975" t="s">
        <v>819</v>
      </c>
      <c r="VTC97" s="975" t="s">
        <v>819</v>
      </c>
      <c r="VTD97" s="975" t="s">
        <v>819</v>
      </c>
      <c r="VTE97" s="975" t="s">
        <v>819</v>
      </c>
      <c r="VTF97" s="975" t="s">
        <v>819</v>
      </c>
      <c r="VTG97" s="975" t="s">
        <v>819</v>
      </c>
      <c r="VTH97" s="975" t="s">
        <v>819</v>
      </c>
      <c r="VTI97" s="975" t="s">
        <v>819</v>
      </c>
      <c r="VTJ97" s="975" t="s">
        <v>819</v>
      </c>
      <c r="VTK97" s="975" t="s">
        <v>819</v>
      </c>
      <c r="VTL97" s="975" t="s">
        <v>819</v>
      </c>
      <c r="VTM97" s="975" t="s">
        <v>819</v>
      </c>
      <c r="VTN97" s="975" t="s">
        <v>819</v>
      </c>
      <c r="VTO97" s="975" t="s">
        <v>819</v>
      </c>
      <c r="VTP97" s="975" t="s">
        <v>819</v>
      </c>
      <c r="VTQ97" s="975" t="s">
        <v>819</v>
      </c>
      <c r="VTR97" s="975" t="s">
        <v>819</v>
      </c>
      <c r="VTS97" s="975" t="s">
        <v>819</v>
      </c>
      <c r="VTT97" s="975" t="s">
        <v>819</v>
      </c>
      <c r="VTU97" s="975" t="s">
        <v>819</v>
      </c>
      <c r="VTV97" s="975" t="s">
        <v>819</v>
      </c>
      <c r="VTW97" s="975" t="s">
        <v>819</v>
      </c>
      <c r="VTX97" s="975" t="s">
        <v>819</v>
      </c>
      <c r="VTY97" s="975" t="s">
        <v>819</v>
      </c>
      <c r="VTZ97" s="975" t="s">
        <v>819</v>
      </c>
      <c r="VUA97" s="975" t="s">
        <v>819</v>
      </c>
      <c r="VUB97" s="975" t="s">
        <v>819</v>
      </c>
      <c r="VUC97" s="975" t="s">
        <v>819</v>
      </c>
      <c r="VUD97" s="975" t="s">
        <v>819</v>
      </c>
      <c r="VUE97" s="975" t="s">
        <v>819</v>
      </c>
      <c r="VUF97" s="975" t="s">
        <v>819</v>
      </c>
      <c r="VUG97" s="975" t="s">
        <v>819</v>
      </c>
      <c r="VUH97" s="975" t="s">
        <v>819</v>
      </c>
      <c r="VUI97" s="975" t="s">
        <v>819</v>
      </c>
      <c r="VUJ97" s="975" t="s">
        <v>819</v>
      </c>
      <c r="VUK97" s="975" t="s">
        <v>819</v>
      </c>
      <c r="VUL97" s="975" t="s">
        <v>819</v>
      </c>
      <c r="VUM97" s="975" t="s">
        <v>819</v>
      </c>
      <c r="VUN97" s="975" t="s">
        <v>819</v>
      </c>
      <c r="VUO97" s="975" t="s">
        <v>819</v>
      </c>
      <c r="VUP97" s="975" t="s">
        <v>819</v>
      </c>
      <c r="VUQ97" s="975" t="s">
        <v>819</v>
      </c>
      <c r="VUR97" s="975" t="s">
        <v>819</v>
      </c>
      <c r="VUS97" s="975" t="s">
        <v>819</v>
      </c>
      <c r="VUT97" s="975" t="s">
        <v>819</v>
      </c>
      <c r="VUU97" s="975" t="s">
        <v>819</v>
      </c>
      <c r="VUV97" s="975" t="s">
        <v>819</v>
      </c>
      <c r="VUW97" s="975" t="s">
        <v>819</v>
      </c>
      <c r="VUX97" s="975" t="s">
        <v>819</v>
      </c>
      <c r="VUY97" s="975" t="s">
        <v>819</v>
      </c>
      <c r="VUZ97" s="975" t="s">
        <v>819</v>
      </c>
      <c r="VVA97" s="975" t="s">
        <v>819</v>
      </c>
      <c r="VVB97" s="975" t="s">
        <v>819</v>
      </c>
      <c r="VVC97" s="975" t="s">
        <v>819</v>
      </c>
      <c r="VVD97" s="975" t="s">
        <v>819</v>
      </c>
      <c r="VVE97" s="975" t="s">
        <v>819</v>
      </c>
      <c r="VVF97" s="975" t="s">
        <v>819</v>
      </c>
      <c r="VVG97" s="975" t="s">
        <v>819</v>
      </c>
      <c r="VVH97" s="975" t="s">
        <v>819</v>
      </c>
      <c r="VVI97" s="975" t="s">
        <v>819</v>
      </c>
      <c r="VVJ97" s="975" t="s">
        <v>819</v>
      </c>
      <c r="VVK97" s="975" t="s">
        <v>819</v>
      </c>
      <c r="VVL97" s="975" t="s">
        <v>819</v>
      </c>
      <c r="VVM97" s="975" t="s">
        <v>819</v>
      </c>
      <c r="VVN97" s="975" t="s">
        <v>819</v>
      </c>
      <c r="VVO97" s="975" t="s">
        <v>819</v>
      </c>
      <c r="VVP97" s="975" t="s">
        <v>819</v>
      </c>
      <c r="VVQ97" s="975" t="s">
        <v>819</v>
      </c>
      <c r="VVR97" s="975" t="s">
        <v>819</v>
      </c>
      <c r="VVS97" s="975" t="s">
        <v>819</v>
      </c>
      <c r="VVT97" s="975" t="s">
        <v>819</v>
      </c>
      <c r="VVU97" s="975" t="s">
        <v>819</v>
      </c>
      <c r="VVV97" s="975" t="s">
        <v>819</v>
      </c>
      <c r="VVW97" s="975" t="s">
        <v>819</v>
      </c>
      <c r="VVX97" s="975" t="s">
        <v>819</v>
      </c>
      <c r="VVY97" s="975" t="s">
        <v>819</v>
      </c>
      <c r="VVZ97" s="975" t="s">
        <v>819</v>
      </c>
      <c r="VWA97" s="975" t="s">
        <v>819</v>
      </c>
      <c r="VWB97" s="975" t="s">
        <v>819</v>
      </c>
      <c r="VWC97" s="975" t="s">
        <v>819</v>
      </c>
      <c r="VWD97" s="975" t="s">
        <v>819</v>
      </c>
      <c r="VWE97" s="975" t="s">
        <v>819</v>
      </c>
      <c r="VWF97" s="975" t="s">
        <v>819</v>
      </c>
      <c r="VWG97" s="975" t="s">
        <v>819</v>
      </c>
      <c r="VWH97" s="975" t="s">
        <v>819</v>
      </c>
      <c r="VWI97" s="975" t="s">
        <v>819</v>
      </c>
      <c r="VWJ97" s="975" t="s">
        <v>819</v>
      </c>
      <c r="VWK97" s="975" t="s">
        <v>819</v>
      </c>
      <c r="VWL97" s="975" t="s">
        <v>819</v>
      </c>
      <c r="VWM97" s="975" t="s">
        <v>819</v>
      </c>
      <c r="VWN97" s="975" t="s">
        <v>819</v>
      </c>
      <c r="VWO97" s="975" t="s">
        <v>819</v>
      </c>
      <c r="VWP97" s="975" t="s">
        <v>819</v>
      </c>
      <c r="VWQ97" s="975" t="s">
        <v>819</v>
      </c>
      <c r="VWR97" s="975" t="s">
        <v>819</v>
      </c>
      <c r="VWS97" s="975" t="s">
        <v>819</v>
      </c>
      <c r="VWT97" s="975" t="s">
        <v>819</v>
      </c>
      <c r="VWU97" s="975" t="s">
        <v>819</v>
      </c>
      <c r="VWV97" s="975" t="s">
        <v>819</v>
      </c>
      <c r="VWW97" s="975" t="s">
        <v>819</v>
      </c>
      <c r="VWX97" s="975" t="s">
        <v>819</v>
      </c>
      <c r="VWY97" s="975" t="s">
        <v>819</v>
      </c>
      <c r="VWZ97" s="975" t="s">
        <v>819</v>
      </c>
      <c r="VXA97" s="975" t="s">
        <v>819</v>
      </c>
      <c r="VXB97" s="975" t="s">
        <v>819</v>
      </c>
      <c r="VXC97" s="975" t="s">
        <v>819</v>
      </c>
      <c r="VXD97" s="975" t="s">
        <v>819</v>
      </c>
      <c r="VXE97" s="975" t="s">
        <v>819</v>
      </c>
      <c r="VXF97" s="975" t="s">
        <v>819</v>
      </c>
      <c r="VXG97" s="975" t="s">
        <v>819</v>
      </c>
      <c r="VXH97" s="975" t="s">
        <v>819</v>
      </c>
      <c r="VXI97" s="975" t="s">
        <v>819</v>
      </c>
      <c r="VXJ97" s="975" t="s">
        <v>819</v>
      </c>
      <c r="VXK97" s="975" t="s">
        <v>819</v>
      </c>
      <c r="VXL97" s="975" t="s">
        <v>819</v>
      </c>
      <c r="VXM97" s="975" t="s">
        <v>819</v>
      </c>
      <c r="VXN97" s="975" t="s">
        <v>819</v>
      </c>
      <c r="VXO97" s="975" t="s">
        <v>819</v>
      </c>
      <c r="VXP97" s="975" t="s">
        <v>819</v>
      </c>
      <c r="VXQ97" s="975" t="s">
        <v>819</v>
      </c>
      <c r="VXR97" s="975" t="s">
        <v>819</v>
      </c>
      <c r="VXS97" s="975" t="s">
        <v>819</v>
      </c>
      <c r="VXT97" s="975" t="s">
        <v>819</v>
      </c>
      <c r="VXU97" s="975" t="s">
        <v>819</v>
      </c>
      <c r="VXV97" s="975" t="s">
        <v>819</v>
      </c>
      <c r="VXW97" s="975" t="s">
        <v>819</v>
      </c>
      <c r="VXX97" s="975" t="s">
        <v>819</v>
      </c>
      <c r="VXY97" s="975" t="s">
        <v>819</v>
      </c>
      <c r="VXZ97" s="975" t="s">
        <v>819</v>
      </c>
      <c r="VYA97" s="975" t="s">
        <v>819</v>
      </c>
      <c r="VYB97" s="975" t="s">
        <v>819</v>
      </c>
      <c r="VYC97" s="975" t="s">
        <v>819</v>
      </c>
      <c r="VYD97" s="975" t="s">
        <v>819</v>
      </c>
      <c r="VYE97" s="975" t="s">
        <v>819</v>
      </c>
      <c r="VYF97" s="975" t="s">
        <v>819</v>
      </c>
      <c r="VYG97" s="975" t="s">
        <v>819</v>
      </c>
      <c r="VYH97" s="975" t="s">
        <v>819</v>
      </c>
      <c r="VYI97" s="975" t="s">
        <v>819</v>
      </c>
      <c r="VYJ97" s="975" t="s">
        <v>819</v>
      </c>
      <c r="VYK97" s="975" t="s">
        <v>819</v>
      </c>
      <c r="VYL97" s="975" t="s">
        <v>819</v>
      </c>
      <c r="VYM97" s="975" t="s">
        <v>819</v>
      </c>
      <c r="VYN97" s="975" t="s">
        <v>819</v>
      </c>
      <c r="VYO97" s="975" t="s">
        <v>819</v>
      </c>
      <c r="VYP97" s="975" t="s">
        <v>819</v>
      </c>
      <c r="VYQ97" s="975" t="s">
        <v>819</v>
      </c>
      <c r="VYR97" s="975" t="s">
        <v>819</v>
      </c>
      <c r="VYS97" s="975" t="s">
        <v>819</v>
      </c>
      <c r="VYT97" s="975" t="s">
        <v>819</v>
      </c>
      <c r="VYU97" s="975" t="s">
        <v>819</v>
      </c>
      <c r="VYV97" s="975" t="s">
        <v>819</v>
      </c>
      <c r="VYW97" s="975" t="s">
        <v>819</v>
      </c>
      <c r="VYX97" s="975" t="s">
        <v>819</v>
      </c>
      <c r="VYY97" s="975" t="s">
        <v>819</v>
      </c>
      <c r="VYZ97" s="975" t="s">
        <v>819</v>
      </c>
      <c r="VZA97" s="975" t="s">
        <v>819</v>
      </c>
      <c r="VZB97" s="975" t="s">
        <v>819</v>
      </c>
      <c r="VZC97" s="975" t="s">
        <v>819</v>
      </c>
      <c r="VZD97" s="975" t="s">
        <v>819</v>
      </c>
      <c r="VZE97" s="975" t="s">
        <v>819</v>
      </c>
      <c r="VZF97" s="975" t="s">
        <v>819</v>
      </c>
      <c r="VZG97" s="975" t="s">
        <v>819</v>
      </c>
      <c r="VZH97" s="975" t="s">
        <v>819</v>
      </c>
      <c r="VZI97" s="975" t="s">
        <v>819</v>
      </c>
      <c r="VZJ97" s="975" t="s">
        <v>819</v>
      </c>
      <c r="VZK97" s="975" t="s">
        <v>819</v>
      </c>
      <c r="VZL97" s="975" t="s">
        <v>819</v>
      </c>
      <c r="VZM97" s="975" t="s">
        <v>819</v>
      </c>
      <c r="VZN97" s="975" t="s">
        <v>819</v>
      </c>
      <c r="VZO97" s="975" t="s">
        <v>819</v>
      </c>
      <c r="VZP97" s="975" t="s">
        <v>819</v>
      </c>
      <c r="VZQ97" s="975" t="s">
        <v>819</v>
      </c>
      <c r="VZR97" s="975" t="s">
        <v>819</v>
      </c>
      <c r="VZS97" s="975" t="s">
        <v>819</v>
      </c>
      <c r="VZT97" s="975" t="s">
        <v>819</v>
      </c>
      <c r="VZU97" s="975" t="s">
        <v>819</v>
      </c>
      <c r="VZV97" s="975" t="s">
        <v>819</v>
      </c>
      <c r="VZW97" s="975" t="s">
        <v>819</v>
      </c>
      <c r="VZX97" s="975" t="s">
        <v>819</v>
      </c>
      <c r="VZY97" s="975" t="s">
        <v>819</v>
      </c>
      <c r="VZZ97" s="975" t="s">
        <v>819</v>
      </c>
      <c r="WAA97" s="975" t="s">
        <v>819</v>
      </c>
      <c r="WAB97" s="975" t="s">
        <v>819</v>
      </c>
      <c r="WAC97" s="975" t="s">
        <v>819</v>
      </c>
      <c r="WAD97" s="975" t="s">
        <v>819</v>
      </c>
      <c r="WAE97" s="975" t="s">
        <v>819</v>
      </c>
      <c r="WAF97" s="975" t="s">
        <v>819</v>
      </c>
      <c r="WAG97" s="975" t="s">
        <v>819</v>
      </c>
      <c r="WAH97" s="975" t="s">
        <v>819</v>
      </c>
      <c r="WAI97" s="975" t="s">
        <v>819</v>
      </c>
      <c r="WAJ97" s="975" t="s">
        <v>819</v>
      </c>
      <c r="WAK97" s="975" t="s">
        <v>819</v>
      </c>
      <c r="WAL97" s="975" t="s">
        <v>819</v>
      </c>
      <c r="WAM97" s="975" t="s">
        <v>819</v>
      </c>
      <c r="WAN97" s="975" t="s">
        <v>819</v>
      </c>
      <c r="WAO97" s="975" t="s">
        <v>819</v>
      </c>
      <c r="WAP97" s="975" t="s">
        <v>819</v>
      </c>
      <c r="WAQ97" s="975" t="s">
        <v>819</v>
      </c>
      <c r="WAR97" s="975" t="s">
        <v>819</v>
      </c>
      <c r="WAS97" s="975" t="s">
        <v>819</v>
      </c>
      <c r="WAT97" s="975" t="s">
        <v>819</v>
      </c>
      <c r="WAU97" s="975" t="s">
        <v>819</v>
      </c>
      <c r="WAV97" s="975" t="s">
        <v>819</v>
      </c>
      <c r="WAW97" s="975" t="s">
        <v>819</v>
      </c>
      <c r="WAX97" s="975" t="s">
        <v>819</v>
      </c>
      <c r="WAY97" s="975" t="s">
        <v>819</v>
      </c>
      <c r="WAZ97" s="975" t="s">
        <v>819</v>
      </c>
      <c r="WBA97" s="975" t="s">
        <v>819</v>
      </c>
      <c r="WBB97" s="975" t="s">
        <v>819</v>
      </c>
      <c r="WBC97" s="975" t="s">
        <v>819</v>
      </c>
      <c r="WBD97" s="975" t="s">
        <v>819</v>
      </c>
      <c r="WBE97" s="975" t="s">
        <v>819</v>
      </c>
      <c r="WBF97" s="975" t="s">
        <v>819</v>
      </c>
      <c r="WBG97" s="975" t="s">
        <v>819</v>
      </c>
      <c r="WBH97" s="975" t="s">
        <v>819</v>
      </c>
      <c r="WBI97" s="975" t="s">
        <v>819</v>
      </c>
      <c r="WBJ97" s="975" t="s">
        <v>819</v>
      </c>
      <c r="WBK97" s="975" t="s">
        <v>819</v>
      </c>
      <c r="WBL97" s="975" t="s">
        <v>819</v>
      </c>
      <c r="WBM97" s="975" t="s">
        <v>819</v>
      </c>
      <c r="WBN97" s="975" t="s">
        <v>819</v>
      </c>
      <c r="WBO97" s="975" t="s">
        <v>819</v>
      </c>
      <c r="WBP97" s="975" t="s">
        <v>819</v>
      </c>
      <c r="WBQ97" s="975" t="s">
        <v>819</v>
      </c>
      <c r="WBR97" s="975" t="s">
        <v>819</v>
      </c>
      <c r="WBS97" s="975" t="s">
        <v>819</v>
      </c>
      <c r="WBT97" s="975" t="s">
        <v>819</v>
      </c>
      <c r="WBU97" s="975" t="s">
        <v>819</v>
      </c>
      <c r="WBV97" s="975" t="s">
        <v>819</v>
      </c>
      <c r="WBW97" s="975" t="s">
        <v>819</v>
      </c>
      <c r="WBX97" s="975" t="s">
        <v>819</v>
      </c>
      <c r="WBY97" s="975" t="s">
        <v>819</v>
      </c>
      <c r="WBZ97" s="975" t="s">
        <v>819</v>
      </c>
      <c r="WCA97" s="975" t="s">
        <v>819</v>
      </c>
      <c r="WCB97" s="975" t="s">
        <v>819</v>
      </c>
      <c r="WCC97" s="975" t="s">
        <v>819</v>
      </c>
      <c r="WCD97" s="975" t="s">
        <v>819</v>
      </c>
      <c r="WCE97" s="975" t="s">
        <v>819</v>
      </c>
      <c r="WCF97" s="975" t="s">
        <v>819</v>
      </c>
      <c r="WCG97" s="975" t="s">
        <v>819</v>
      </c>
      <c r="WCH97" s="975" t="s">
        <v>819</v>
      </c>
      <c r="WCI97" s="975" t="s">
        <v>819</v>
      </c>
      <c r="WCJ97" s="975" t="s">
        <v>819</v>
      </c>
      <c r="WCK97" s="975" t="s">
        <v>819</v>
      </c>
      <c r="WCL97" s="975" t="s">
        <v>819</v>
      </c>
      <c r="WCM97" s="975" t="s">
        <v>819</v>
      </c>
      <c r="WCN97" s="975" t="s">
        <v>819</v>
      </c>
      <c r="WCO97" s="975" t="s">
        <v>819</v>
      </c>
      <c r="WCP97" s="975" t="s">
        <v>819</v>
      </c>
      <c r="WCQ97" s="975" t="s">
        <v>819</v>
      </c>
      <c r="WCR97" s="975" t="s">
        <v>819</v>
      </c>
      <c r="WCS97" s="975" t="s">
        <v>819</v>
      </c>
      <c r="WCT97" s="975" t="s">
        <v>819</v>
      </c>
      <c r="WCU97" s="975" t="s">
        <v>819</v>
      </c>
      <c r="WCV97" s="975" t="s">
        <v>819</v>
      </c>
      <c r="WCW97" s="975" t="s">
        <v>819</v>
      </c>
      <c r="WCX97" s="975" t="s">
        <v>819</v>
      </c>
      <c r="WCY97" s="975" t="s">
        <v>819</v>
      </c>
      <c r="WCZ97" s="975" t="s">
        <v>819</v>
      </c>
      <c r="WDA97" s="975" t="s">
        <v>819</v>
      </c>
      <c r="WDB97" s="975" t="s">
        <v>819</v>
      </c>
      <c r="WDC97" s="975" t="s">
        <v>819</v>
      </c>
      <c r="WDD97" s="975" t="s">
        <v>819</v>
      </c>
      <c r="WDE97" s="975" t="s">
        <v>819</v>
      </c>
      <c r="WDF97" s="975" t="s">
        <v>819</v>
      </c>
      <c r="WDG97" s="975" t="s">
        <v>819</v>
      </c>
      <c r="WDH97" s="975" t="s">
        <v>819</v>
      </c>
      <c r="WDI97" s="975" t="s">
        <v>819</v>
      </c>
      <c r="WDJ97" s="975" t="s">
        <v>819</v>
      </c>
      <c r="WDK97" s="975" t="s">
        <v>819</v>
      </c>
      <c r="WDL97" s="975" t="s">
        <v>819</v>
      </c>
      <c r="WDM97" s="975" t="s">
        <v>819</v>
      </c>
      <c r="WDN97" s="975" t="s">
        <v>819</v>
      </c>
      <c r="WDO97" s="975" t="s">
        <v>819</v>
      </c>
      <c r="WDP97" s="975" t="s">
        <v>819</v>
      </c>
      <c r="WDQ97" s="975" t="s">
        <v>819</v>
      </c>
      <c r="WDR97" s="975" t="s">
        <v>819</v>
      </c>
      <c r="WDS97" s="975" t="s">
        <v>819</v>
      </c>
      <c r="WDT97" s="975" t="s">
        <v>819</v>
      </c>
      <c r="WDU97" s="975" t="s">
        <v>819</v>
      </c>
      <c r="WDV97" s="975" t="s">
        <v>819</v>
      </c>
      <c r="WDW97" s="975" t="s">
        <v>819</v>
      </c>
      <c r="WDX97" s="975" t="s">
        <v>819</v>
      </c>
      <c r="WDY97" s="975" t="s">
        <v>819</v>
      </c>
      <c r="WDZ97" s="975" t="s">
        <v>819</v>
      </c>
      <c r="WEA97" s="975" t="s">
        <v>819</v>
      </c>
      <c r="WEB97" s="975" t="s">
        <v>819</v>
      </c>
      <c r="WEC97" s="975" t="s">
        <v>819</v>
      </c>
      <c r="WED97" s="975" t="s">
        <v>819</v>
      </c>
      <c r="WEE97" s="975" t="s">
        <v>819</v>
      </c>
      <c r="WEF97" s="975" t="s">
        <v>819</v>
      </c>
      <c r="WEG97" s="975" t="s">
        <v>819</v>
      </c>
      <c r="WEH97" s="975" t="s">
        <v>819</v>
      </c>
      <c r="WEI97" s="975" t="s">
        <v>819</v>
      </c>
      <c r="WEJ97" s="975" t="s">
        <v>819</v>
      </c>
      <c r="WEK97" s="975" t="s">
        <v>819</v>
      </c>
      <c r="WEL97" s="975" t="s">
        <v>819</v>
      </c>
      <c r="WEM97" s="975" t="s">
        <v>819</v>
      </c>
      <c r="WEN97" s="975" t="s">
        <v>819</v>
      </c>
      <c r="WEO97" s="975" t="s">
        <v>819</v>
      </c>
      <c r="WEP97" s="975" t="s">
        <v>819</v>
      </c>
      <c r="WEQ97" s="975" t="s">
        <v>819</v>
      </c>
      <c r="WER97" s="975" t="s">
        <v>819</v>
      </c>
      <c r="WES97" s="975" t="s">
        <v>819</v>
      </c>
      <c r="WET97" s="975" t="s">
        <v>819</v>
      </c>
      <c r="WEU97" s="975" t="s">
        <v>819</v>
      </c>
      <c r="WEV97" s="975" t="s">
        <v>819</v>
      </c>
      <c r="WEW97" s="975" t="s">
        <v>819</v>
      </c>
      <c r="WEX97" s="975" t="s">
        <v>819</v>
      </c>
      <c r="WEY97" s="975" t="s">
        <v>819</v>
      </c>
      <c r="WEZ97" s="975" t="s">
        <v>819</v>
      </c>
      <c r="WFA97" s="975" t="s">
        <v>819</v>
      </c>
      <c r="WFB97" s="975" t="s">
        <v>819</v>
      </c>
      <c r="WFC97" s="975" t="s">
        <v>819</v>
      </c>
      <c r="WFD97" s="975" t="s">
        <v>819</v>
      </c>
      <c r="WFE97" s="975" t="s">
        <v>819</v>
      </c>
      <c r="WFF97" s="975" t="s">
        <v>819</v>
      </c>
      <c r="WFG97" s="975" t="s">
        <v>819</v>
      </c>
      <c r="WFH97" s="975" t="s">
        <v>819</v>
      </c>
      <c r="WFI97" s="975" t="s">
        <v>819</v>
      </c>
      <c r="WFJ97" s="975" t="s">
        <v>819</v>
      </c>
      <c r="WFK97" s="975" t="s">
        <v>819</v>
      </c>
      <c r="WFL97" s="975" t="s">
        <v>819</v>
      </c>
      <c r="WFM97" s="975" t="s">
        <v>819</v>
      </c>
      <c r="WFN97" s="975" t="s">
        <v>819</v>
      </c>
      <c r="WFO97" s="975" t="s">
        <v>819</v>
      </c>
      <c r="WFP97" s="975" t="s">
        <v>819</v>
      </c>
      <c r="WFQ97" s="975" t="s">
        <v>819</v>
      </c>
      <c r="WFR97" s="975" t="s">
        <v>819</v>
      </c>
      <c r="WFS97" s="975" t="s">
        <v>819</v>
      </c>
      <c r="WFT97" s="975" t="s">
        <v>819</v>
      </c>
      <c r="WFU97" s="975" t="s">
        <v>819</v>
      </c>
      <c r="WFV97" s="975" t="s">
        <v>819</v>
      </c>
      <c r="WFW97" s="975" t="s">
        <v>819</v>
      </c>
      <c r="WFX97" s="975" t="s">
        <v>819</v>
      </c>
      <c r="WFY97" s="975" t="s">
        <v>819</v>
      </c>
      <c r="WFZ97" s="975" t="s">
        <v>819</v>
      </c>
      <c r="WGA97" s="975" t="s">
        <v>819</v>
      </c>
      <c r="WGB97" s="975" t="s">
        <v>819</v>
      </c>
      <c r="WGC97" s="975" t="s">
        <v>819</v>
      </c>
      <c r="WGD97" s="975" t="s">
        <v>819</v>
      </c>
      <c r="WGE97" s="975" t="s">
        <v>819</v>
      </c>
      <c r="WGF97" s="975" t="s">
        <v>819</v>
      </c>
      <c r="WGG97" s="975" t="s">
        <v>819</v>
      </c>
      <c r="WGH97" s="975" t="s">
        <v>819</v>
      </c>
      <c r="WGI97" s="975" t="s">
        <v>819</v>
      </c>
      <c r="WGJ97" s="975" t="s">
        <v>819</v>
      </c>
      <c r="WGK97" s="975" t="s">
        <v>819</v>
      </c>
      <c r="WGL97" s="975" t="s">
        <v>819</v>
      </c>
      <c r="WGM97" s="975" t="s">
        <v>819</v>
      </c>
      <c r="WGN97" s="975" t="s">
        <v>819</v>
      </c>
      <c r="WGO97" s="975" t="s">
        <v>819</v>
      </c>
      <c r="WGP97" s="975" t="s">
        <v>819</v>
      </c>
      <c r="WGQ97" s="975" t="s">
        <v>819</v>
      </c>
      <c r="WGR97" s="975" t="s">
        <v>819</v>
      </c>
      <c r="WGS97" s="975" t="s">
        <v>819</v>
      </c>
      <c r="WGT97" s="975" t="s">
        <v>819</v>
      </c>
      <c r="WGU97" s="975" t="s">
        <v>819</v>
      </c>
      <c r="WGV97" s="975" t="s">
        <v>819</v>
      </c>
      <c r="WGW97" s="975" t="s">
        <v>819</v>
      </c>
      <c r="WGX97" s="975" t="s">
        <v>819</v>
      </c>
      <c r="WGY97" s="975" t="s">
        <v>819</v>
      </c>
      <c r="WGZ97" s="975" t="s">
        <v>819</v>
      </c>
      <c r="WHA97" s="975" t="s">
        <v>819</v>
      </c>
      <c r="WHB97" s="975" t="s">
        <v>819</v>
      </c>
      <c r="WHC97" s="975" t="s">
        <v>819</v>
      </c>
      <c r="WHD97" s="975" t="s">
        <v>819</v>
      </c>
      <c r="WHE97" s="975" t="s">
        <v>819</v>
      </c>
      <c r="WHF97" s="975" t="s">
        <v>819</v>
      </c>
      <c r="WHG97" s="975" t="s">
        <v>819</v>
      </c>
      <c r="WHH97" s="975" t="s">
        <v>819</v>
      </c>
      <c r="WHI97" s="975" t="s">
        <v>819</v>
      </c>
      <c r="WHJ97" s="975" t="s">
        <v>819</v>
      </c>
      <c r="WHK97" s="975" t="s">
        <v>819</v>
      </c>
      <c r="WHL97" s="975" t="s">
        <v>819</v>
      </c>
      <c r="WHM97" s="975" t="s">
        <v>819</v>
      </c>
      <c r="WHN97" s="975" t="s">
        <v>819</v>
      </c>
      <c r="WHO97" s="975" t="s">
        <v>819</v>
      </c>
      <c r="WHP97" s="975" t="s">
        <v>819</v>
      </c>
      <c r="WHQ97" s="975" t="s">
        <v>819</v>
      </c>
      <c r="WHR97" s="975" t="s">
        <v>819</v>
      </c>
      <c r="WHS97" s="975" t="s">
        <v>819</v>
      </c>
      <c r="WHT97" s="975" t="s">
        <v>819</v>
      </c>
      <c r="WHU97" s="975" t="s">
        <v>819</v>
      </c>
      <c r="WHV97" s="975" t="s">
        <v>819</v>
      </c>
      <c r="WHW97" s="975" t="s">
        <v>819</v>
      </c>
      <c r="WHX97" s="975" t="s">
        <v>819</v>
      </c>
      <c r="WHY97" s="975" t="s">
        <v>819</v>
      </c>
      <c r="WHZ97" s="975" t="s">
        <v>819</v>
      </c>
      <c r="WIA97" s="975" t="s">
        <v>819</v>
      </c>
      <c r="WIB97" s="975" t="s">
        <v>819</v>
      </c>
      <c r="WIC97" s="975" t="s">
        <v>819</v>
      </c>
      <c r="WID97" s="975" t="s">
        <v>819</v>
      </c>
      <c r="WIE97" s="975" t="s">
        <v>819</v>
      </c>
      <c r="WIF97" s="975" t="s">
        <v>819</v>
      </c>
      <c r="WIG97" s="975" t="s">
        <v>819</v>
      </c>
      <c r="WIH97" s="975" t="s">
        <v>819</v>
      </c>
      <c r="WII97" s="975" t="s">
        <v>819</v>
      </c>
      <c r="WIJ97" s="975" t="s">
        <v>819</v>
      </c>
      <c r="WIK97" s="975" t="s">
        <v>819</v>
      </c>
      <c r="WIL97" s="975" t="s">
        <v>819</v>
      </c>
      <c r="WIM97" s="975" t="s">
        <v>819</v>
      </c>
      <c r="WIN97" s="975" t="s">
        <v>819</v>
      </c>
      <c r="WIO97" s="975" t="s">
        <v>819</v>
      </c>
      <c r="WIP97" s="975" t="s">
        <v>819</v>
      </c>
      <c r="WIQ97" s="975" t="s">
        <v>819</v>
      </c>
      <c r="WIR97" s="975" t="s">
        <v>819</v>
      </c>
      <c r="WIS97" s="975" t="s">
        <v>819</v>
      </c>
      <c r="WIT97" s="975" t="s">
        <v>819</v>
      </c>
      <c r="WIU97" s="975" t="s">
        <v>819</v>
      </c>
      <c r="WIV97" s="975" t="s">
        <v>819</v>
      </c>
      <c r="WIW97" s="975" t="s">
        <v>819</v>
      </c>
      <c r="WIX97" s="975" t="s">
        <v>819</v>
      </c>
      <c r="WIY97" s="975" t="s">
        <v>819</v>
      </c>
      <c r="WIZ97" s="975" t="s">
        <v>819</v>
      </c>
      <c r="WJA97" s="975" t="s">
        <v>819</v>
      </c>
      <c r="WJB97" s="975" t="s">
        <v>819</v>
      </c>
      <c r="WJC97" s="975" t="s">
        <v>819</v>
      </c>
      <c r="WJD97" s="975" t="s">
        <v>819</v>
      </c>
      <c r="WJE97" s="975" t="s">
        <v>819</v>
      </c>
      <c r="WJF97" s="975" t="s">
        <v>819</v>
      </c>
      <c r="WJG97" s="975" t="s">
        <v>819</v>
      </c>
      <c r="WJH97" s="975" t="s">
        <v>819</v>
      </c>
      <c r="WJI97" s="975" t="s">
        <v>819</v>
      </c>
      <c r="WJJ97" s="975" t="s">
        <v>819</v>
      </c>
      <c r="WJK97" s="975" t="s">
        <v>819</v>
      </c>
      <c r="WJL97" s="975" t="s">
        <v>819</v>
      </c>
      <c r="WJM97" s="975" t="s">
        <v>819</v>
      </c>
      <c r="WJN97" s="975" t="s">
        <v>819</v>
      </c>
      <c r="WJO97" s="975" t="s">
        <v>819</v>
      </c>
      <c r="WJP97" s="975" t="s">
        <v>819</v>
      </c>
      <c r="WJQ97" s="975" t="s">
        <v>819</v>
      </c>
      <c r="WJR97" s="975" t="s">
        <v>819</v>
      </c>
      <c r="WJS97" s="975" t="s">
        <v>819</v>
      </c>
      <c r="WJT97" s="975" t="s">
        <v>819</v>
      </c>
      <c r="WJU97" s="975" t="s">
        <v>819</v>
      </c>
      <c r="WJV97" s="975" t="s">
        <v>819</v>
      </c>
      <c r="WJW97" s="975" t="s">
        <v>819</v>
      </c>
      <c r="WJX97" s="975" t="s">
        <v>819</v>
      </c>
      <c r="WJY97" s="975" t="s">
        <v>819</v>
      </c>
      <c r="WJZ97" s="975" t="s">
        <v>819</v>
      </c>
      <c r="WKA97" s="975" t="s">
        <v>819</v>
      </c>
      <c r="WKB97" s="975" t="s">
        <v>819</v>
      </c>
      <c r="WKC97" s="975" t="s">
        <v>819</v>
      </c>
      <c r="WKD97" s="975" t="s">
        <v>819</v>
      </c>
      <c r="WKE97" s="975" t="s">
        <v>819</v>
      </c>
      <c r="WKF97" s="975" t="s">
        <v>819</v>
      </c>
      <c r="WKG97" s="975" t="s">
        <v>819</v>
      </c>
      <c r="WKH97" s="975" t="s">
        <v>819</v>
      </c>
      <c r="WKI97" s="975" t="s">
        <v>819</v>
      </c>
      <c r="WKJ97" s="975" t="s">
        <v>819</v>
      </c>
      <c r="WKK97" s="975" t="s">
        <v>819</v>
      </c>
      <c r="WKL97" s="975" t="s">
        <v>819</v>
      </c>
      <c r="WKM97" s="975" t="s">
        <v>819</v>
      </c>
      <c r="WKN97" s="975" t="s">
        <v>819</v>
      </c>
      <c r="WKO97" s="975" t="s">
        <v>819</v>
      </c>
      <c r="WKP97" s="975" t="s">
        <v>819</v>
      </c>
      <c r="WKQ97" s="975" t="s">
        <v>819</v>
      </c>
      <c r="WKR97" s="975" t="s">
        <v>819</v>
      </c>
      <c r="WKS97" s="975" t="s">
        <v>819</v>
      </c>
      <c r="WKT97" s="975" t="s">
        <v>819</v>
      </c>
      <c r="WKU97" s="975" t="s">
        <v>819</v>
      </c>
      <c r="WKV97" s="975" t="s">
        <v>819</v>
      </c>
      <c r="WKW97" s="975" t="s">
        <v>819</v>
      </c>
      <c r="WKX97" s="975" t="s">
        <v>819</v>
      </c>
      <c r="WKY97" s="975" t="s">
        <v>819</v>
      </c>
      <c r="WKZ97" s="975" t="s">
        <v>819</v>
      </c>
      <c r="WLA97" s="975" t="s">
        <v>819</v>
      </c>
      <c r="WLB97" s="975" t="s">
        <v>819</v>
      </c>
      <c r="WLC97" s="975" t="s">
        <v>819</v>
      </c>
      <c r="WLD97" s="975" t="s">
        <v>819</v>
      </c>
      <c r="WLE97" s="975" t="s">
        <v>819</v>
      </c>
      <c r="WLF97" s="975" t="s">
        <v>819</v>
      </c>
      <c r="WLG97" s="975" t="s">
        <v>819</v>
      </c>
      <c r="WLH97" s="975" t="s">
        <v>819</v>
      </c>
      <c r="WLI97" s="975" t="s">
        <v>819</v>
      </c>
      <c r="WLJ97" s="975" t="s">
        <v>819</v>
      </c>
      <c r="WLK97" s="975" t="s">
        <v>819</v>
      </c>
      <c r="WLL97" s="975" t="s">
        <v>819</v>
      </c>
      <c r="WLM97" s="975" t="s">
        <v>819</v>
      </c>
      <c r="WLN97" s="975" t="s">
        <v>819</v>
      </c>
      <c r="WLO97" s="975" t="s">
        <v>819</v>
      </c>
      <c r="WLP97" s="975" t="s">
        <v>819</v>
      </c>
      <c r="WLQ97" s="975" t="s">
        <v>819</v>
      </c>
      <c r="WLR97" s="975" t="s">
        <v>819</v>
      </c>
      <c r="WLS97" s="975" t="s">
        <v>819</v>
      </c>
      <c r="WLT97" s="975" t="s">
        <v>819</v>
      </c>
      <c r="WLU97" s="975" t="s">
        <v>819</v>
      </c>
      <c r="WLV97" s="975" t="s">
        <v>819</v>
      </c>
      <c r="WLW97" s="975" t="s">
        <v>819</v>
      </c>
      <c r="WLX97" s="975" t="s">
        <v>819</v>
      </c>
      <c r="WLY97" s="975" t="s">
        <v>819</v>
      </c>
      <c r="WLZ97" s="975" t="s">
        <v>819</v>
      </c>
      <c r="WMA97" s="975" t="s">
        <v>819</v>
      </c>
      <c r="WMB97" s="975" t="s">
        <v>819</v>
      </c>
      <c r="WMC97" s="975" t="s">
        <v>819</v>
      </c>
      <c r="WMD97" s="975" t="s">
        <v>819</v>
      </c>
      <c r="WME97" s="975" t="s">
        <v>819</v>
      </c>
      <c r="WMF97" s="975" t="s">
        <v>819</v>
      </c>
      <c r="WMG97" s="975" t="s">
        <v>819</v>
      </c>
      <c r="WMH97" s="975" t="s">
        <v>819</v>
      </c>
      <c r="WMI97" s="975" t="s">
        <v>819</v>
      </c>
      <c r="WMJ97" s="975" t="s">
        <v>819</v>
      </c>
      <c r="WMK97" s="975" t="s">
        <v>819</v>
      </c>
      <c r="WML97" s="975" t="s">
        <v>819</v>
      </c>
      <c r="WMM97" s="975" t="s">
        <v>819</v>
      </c>
      <c r="WMN97" s="975" t="s">
        <v>819</v>
      </c>
      <c r="WMO97" s="975" t="s">
        <v>819</v>
      </c>
      <c r="WMP97" s="975" t="s">
        <v>819</v>
      </c>
      <c r="WMQ97" s="975" t="s">
        <v>819</v>
      </c>
      <c r="WMR97" s="975" t="s">
        <v>819</v>
      </c>
      <c r="WMS97" s="975" t="s">
        <v>819</v>
      </c>
      <c r="WMT97" s="975" t="s">
        <v>819</v>
      </c>
      <c r="WMU97" s="975" t="s">
        <v>819</v>
      </c>
      <c r="WMV97" s="975" t="s">
        <v>819</v>
      </c>
      <c r="WMW97" s="975" t="s">
        <v>819</v>
      </c>
      <c r="WMX97" s="975" t="s">
        <v>819</v>
      </c>
      <c r="WMY97" s="975" t="s">
        <v>819</v>
      </c>
      <c r="WMZ97" s="975" t="s">
        <v>819</v>
      </c>
      <c r="WNA97" s="975" t="s">
        <v>819</v>
      </c>
      <c r="WNB97" s="975" t="s">
        <v>819</v>
      </c>
      <c r="WNC97" s="975" t="s">
        <v>819</v>
      </c>
      <c r="WND97" s="975" t="s">
        <v>819</v>
      </c>
      <c r="WNE97" s="975" t="s">
        <v>819</v>
      </c>
      <c r="WNF97" s="975" t="s">
        <v>819</v>
      </c>
      <c r="WNG97" s="975" t="s">
        <v>819</v>
      </c>
      <c r="WNH97" s="975" t="s">
        <v>819</v>
      </c>
      <c r="WNI97" s="975" t="s">
        <v>819</v>
      </c>
      <c r="WNJ97" s="975" t="s">
        <v>819</v>
      </c>
      <c r="WNK97" s="975" t="s">
        <v>819</v>
      </c>
      <c r="WNL97" s="975" t="s">
        <v>819</v>
      </c>
      <c r="WNM97" s="975" t="s">
        <v>819</v>
      </c>
      <c r="WNN97" s="975" t="s">
        <v>819</v>
      </c>
      <c r="WNO97" s="975" t="s">
        <v>819</v>
      </c>
      <c r="WNP97" s="975" t="s">
        <v>819</v>
      </c>
      <c r="WNQ97" s="975" t="s">
        <v>819</v>
      </c>
      <c r="WNR97" s="975" t="s">
        <v>819</v>
      </c>
      <c r="WNS97" s="975" t="s">
        <v>819</v>
      </c>
      <c r="WNT97" s="975" t="s">
        <v>819</v>
      </c>
      <c r="WNU97" s="975" t="s">
        <v>819</v>
      </c>
      <c r="WNV97" s="975" t="s">
        <v>819</v>
      </c>
      <c r="WNW97" s="975" t="s">
        <v>819</v>
      </c>
      <c r="WNX97" s="975" t="s">
        <v>819</v>
      </c>
      <c r="WNY97" s="975" t="s">
        <v>819</v>
      </c>
      <c r="WNZ97" s="975" t="s">
        <v>819</v>
      </c>
      <c r="WOA97" s="975" t="s">
        <v>819</v>
      </c>
      <c r="WOB97" s="975" t="s">
        <v>819</v>
      </c>
      <c r="WOC97" s="975" t="s">
        <v>819</v>
      </c>
      <c r="WOD97" s="975" t="s">
        <v>819</v>
      </c>
      <c r="WOE97" s="975" t="s">
        <v>819</v>
      </c>
      <c r="WOF97" s="975" t="s">
        <v>819</v>
      </c>
      <c r="WOG97" s="975" t="s">
        <v>819</v>
      </c>
      <c r="WOH97" s="975" t="s">
        <v>819</v>
      </c>
      <c r="WOI97" s="975" t="s">
        <v>819</v>
      </c>
      <c r="WOJ97" s="975" t="s">
        <v>819</v>
      </c>
      <c r="WOK97" s="975" t="s">
        <v>819</v>
      </c>
      <c r="WOL97" s="975" t="s">
        <v>819</v>
      </c>
      <c r="WOM97" s="975" t="s">
        <v>819</v>
      </c>
      <c r="WON97" s="975" t="s">
        <v>819</v>
      </c>
      <c r="WOO97" s="975" t="s">
        <v>819</v>
      </c>
      <c r="WOP97" s="975" t="s">
        <v>819</v>
      </c>
      <c r="WOQ97" s="975" t="s">
        <v>819</v>
      </c>
      <c r="WOR97" s="975" t="s">
        <v>819</v>
      </c>
      <c r="WOS97" s="975" t="s">
        <v>819</v>
      </c>
      <c r="WOT97" s="975" t="s">
        <v>819</v>
      </c>
      <c r="WOU97" s="975" t="s">
        <v>819</v>
      </c>
      <c r="WOV97" s="975" t="s">
        <v>819</v>
      </c>
      <c r="WOW97" s="975" t="s">
        <v>819</v>
      </c>
      <c r="WOX97" s="975" t="s">
        <v>819</v>
      </c>
      <c r="WOY97" s="975" t="s">
        <v>819</v>
      </c>
      <c r="WOZ97" s="975" t="s">
        <v>819</v>
      </c>
      <c r="WPA97" s="975" t="s">
        <v>819</v>
      </c>
      <c r="WPB97" s="975" t="s">
        <v>819</v>
      </c>
      <c r="WPC97" s="975" t="s">
        <v>819</v>
      </c>
      <c r="WPD97" s="975" t="s">
        <v>819</v>
      </c>
      <c r="WPE97" s="975" t="s">
        <v>819</v>
      </c>
      <c r="WPF97" s="975" t="s">
        <v>819</v>
      </c>
      <c r="WPG97" s="975" t="s">
        <v>819</v>
      </c>
      <c r="WPH97" s="975" t="s">
        <v>819</v>
      </c>
      <c r="WPI97" s="975" t="s">
        <v>819</v>
      </c>
      <c r="WPJ97" s="975" t="s">
        <v>819</v>
      </c>
      <c r="WPK97" s="975" t="s">
        <v>819</v>
      </c>
      <c r="WPL97" s="975" t="s">
        <v>819</v>
      </c>
      <c r="WPM97" s="975" t="s">
        <v>819</v>
      </c>
      <c r="WPN97" s="975" t="s">
        <v>819</v>
      </c>
      <c r="WPO97" s="975" t="s">
        <v>819</v>
      </c>
      <c r="WPP97" s="975" t="s">
        <v>819</v>
      </c>
      <c r="WPQ97" s="975" t="s">
        <v>819</v>
      </c>
      <c r="WPR97" s="975" t="s">
        <v>819</v>
      </c>
      <c r="WPS97" s="975" t="s">
        <v>819</v>
      </c>
      <c r="WPT97" s="975" t="s">
        <v>819</v>
      </c>
      <c r="WPU97" s="975" t="s">
        <v>819</v>
      </c>
      <c r="WPV97" s="975" t="s">
        <v>819</v>
      </c>
      <c r="WPW97" s="975" t="s">
        <v>819</v>
      </c>
      <c r="WPX97" s="975" t="s">
        <v>819</v>
      </c>
      <c r="WPY97" s="975" t="s">
        <v>819</v>
      </c>
      <c r="WPZ97" s="975" t="s">
        <v>819</v>
      </c>
      <c r="WQA97" s="975" t="s">
        <v>819</v>
      </c>
      <c r="WQB97" s="975" t="s">
        <v>819</v>
      </c>
      <c r="WQC97" s="975" t="s">
        <v>819</v>
      </c>
      <c r="WQD97" s="975" t="s">
        <v>819</v>
      </c>
      <c r="WQE97" s="975" t="s">
        <v>819</v>
      </c>
      <c r="WQF97" s="975" t="s">
        <v>819</v>
      </c>
      <c r="WQG97" s="975" t="s">
        <v>819</v>
      </c>
      <c r="WQH97" s="975" t="s">
        <v>819</v>
      </c>
      <c r="WQI97" s="975" t="s">
        <v>819</v>
      </c>
      <c r="WQJ97" s="975" t="s">
        <v>819</v>
      </c>
      <c r="WQK97" s="975" t="s">
        <v>819</v>
      </c>
      <c r="WQL97" s="975" t="s">
        <v>819</v>
      </c>
      <c r="WQM97" s="975" t="s">
        <v>819</v>
      </c>
      <c r="WQN97" s="975" t="s">
        <v>819</v>
      </c>
      <c r="WQO97" s="975" t="s">
        <v>819</v>
      </c>
      <c r="WQP97" s="975" t="s">
        <v>819</v>
      </c>
      <c r="WQQ97" s="975" t="s">
        <v>819</v>
      </c>
      <c r="WQR97" s="975" t="s">
        <v>819</v>
      </c>
      <c r="WQS97" s="975" t="s">
        <v>819</v>
      </c>
      <c r="WQT97" s="975" t="s">
        <v>819</v>
      </c>
      <c r="WQU97" s="975" t="s">
        <v>819</v>
      </c>
      <c r="WQV97" s="975" t="s">
        <v>819</v>
      </c>
      <c r="WQW97" s="975" t="s">
        <v>819</v>
      </c>
      <c r="WQX97" s="975" t="s">
        <v>819</v>
      </c>
      <c r="WQY97" s="975" t="s">
        <v>819</v>
      </c>
      <c r="WQZ97" s="975" t="s">
        <v>819</v>
      </c>
      <c r="WRA97" s="975" t="s">
        <v>819</v>
      </c>
      <c r="WRB97" s="975" t="s">
        <v>819</v>
      </c>
      <c r="WRC97" s="975" t="s">
        <v>819</v>
      </c>
      <c r="WRD97" s="975" t="s">
        <v>819</v>
      </c>
      <c r="WRE97" s="975" t="s">
        <v>819</v>
      </c>
      <c r="WRF97" s="975" t="s">
        <v>819</v>
      </c>
      <c r="WRG97" s="975" t="s">
        <v>819</v>
      </c>
      <c r="WRH97" s="975" t="s">
        <v>819</v>
      </c>
      <c r="WRI97" s="975" t="s">
        <v>819</v>
      </c>
      <c r="WRJ97" s="975" t="s">
        <v>819</v>
      </c>
      <c r="WRK97" s="975" t="s">
        <v>819</v>
      </c>
      <c r="WRL97" s="975" t="s">
        <v>819</v>
      </c>
      <c r="WRM97" s="975" t="s">
        <v>819</v>
      </c>
      <c r="WRN97" s="975" t="s">
        <v>819</v>
      </c>
      <c r="WRO97" s="975" t="s">
        <v>819</v>
      </c>
      <c r="WRP97" s="975" t="s">
        <v>819</v>
      </c>
      <c r="WRQ97" s="975" t="s">
        <v>819</v>
      </c>
      <c r="WRR97" s="975" t="s">
        <v>819</v>
      </c>
      <c r="WRS97" s="975" t="s">
        <v>819</v>
      </c>
      <c r="WRT97" s="975" t="s">
        <v>819</v>
      </c>
      <c r="WRU97" s="975" t="s">
        <v>819</v>
      </c>
      <c r="WRV97" s="975" t="s">
        <v>819</v>
      </c>
      <c r="WRW97" s="975" t="s">
        <v>819</v>
      </c>
      <c r="WRX97" s="975" t="s">
        <v>819</v>
      </c>
      <c r="WRY97" s="975" t="s">
        <v>819</v>
      </c>
      <c r="WRZ97" s="975" t="s">
        <v>819</v>
      </c>
      <c r="WSA97" s="975" t="s">
        <v>819</v>
      </c>
      <c r="WSB97" s="975" t="s">
        <v>819</v>
      </c>
      <c r="WSC97" s="975" t="s">
        <v>819</v>
      </c>
      <c r="WSD97" s="975" t="s">
        <v>819</v>
      </c>
      <c r="WSE97" s="975" t="s">
        <v>819</v>
      </c>
      <c r="WSF97" s="975" t="s">
        <v>819</v>
      </c>
      <c r="WSG97" s="975" t="s">
        <v>819</v>
      </c>
      <c r="WSH97" s="975" t="s">
        <v>819</v>
      </c>
      <c r="WSI97" s="975" t="s">
        <v>819</v>
      </c>
      <c r="WSJ97" s="975" t="s">
        <v>819</v>
      </c>
      <c r="WSK97" s="975" t="s">
        <v>819</v>
      </c>
      <c r="WSL97" s="975" t="s">
        <v>819</v>
      </c>
      <c r="WSM97" s="975" t="s">
        <v>819</v>
      </c>
      <c r="WSN97" s="975" t="s">
        <v>819</v>
      </c>
      <c r="WSO97" s="975" t="s">
        <v>819</v>
      </c>
      <c r="WSP97" s="975" t="s">
        <v>819</v>
      </c>
      <c r="WSQ97" s="975" t="s">
        <v>819</v>
      </c>
      <c r="WSR97" s="975" t="s">
        <v>819</v>
      </c>
      <c r="WSS97" s="975" t="s">
        <v>819</v>
      </c>
      <c r="WST97" s="975" t="s">
        <v>819</v>
      </c>
      <c r="WSU97" s="975" t="s">
        <v>819</v>
      </c>
      <c r="WSV97" s="975" t="s">
        <v>819</v>
      </c>
      <c r="WSW97" s="975" t="s">
        <v>819</v>
      </c>
      <c r="WSX97" s="975" t="s">
        <v>819</v>
      </c>
      <c r="WSY97" s="975" t="s">
        <v>819</v>
      </c>
      <c r="WSZ97" s="975" t="s">
        <v>819</v>
      </c>
      <c r="WTA97" s="975" t="s">
        <v>819</v>
      </c>
      <c r="WTB97" s="975" t="s">
        <v>819</v>
      </c>
      <c r="WTC97" s="975" t="s">
        <v>819</v>
      </c>
      <c r="WTD97" s="975" t="s">
        <v>819</v>
      </c>
      <c r="WTE97" s="975" t="s">
        <v>819</v>
      </c>
      <c r="WTF97" s="975" t="s">
        <v>819</v>
      </c>
      <c r="WTG97" s="975" t="s">
        <v>819</v>
      </c>
      <c r="WTH97" s="975" t="s">
        <v>819</v>
      </c>
      <c r="WTI97" s="975" t="s">
        <v>819</v>
      </c>
      <c r="WTJ97" s="975" t="s">
        <v>819</v>
      </c>
      <c r="WTK97" s="975" t="s">
        <v>819</v>
      </c>
      <c r="WTL97" s="975" t="s">
        <v>819</v>
      </c>
      <c r="WTM97" s="975" t="s">
        <v>819</v>
      </c>
      <c r="WTN97" s="975" t="s">
        <v>819</v>
      </c>
      <c r="WTO97" s="975" t="s">
        <v>819</v>
      </c>
      <c r="WTP97" s="975" t="s">
        <v>819</v>
      </c>
      <c r="WTQ97" s="975" t="s">
        <v>819</v>
      </c>
      <c r="WTR97" s="975" t="s">
        <v>819</v>
      </c>
      <c r="WTS97" s="975" t="s">
        <v>819</v>
      </c>
      <c r="WTT97" s="975" t="s">
        <v>819</v>
      </c>
      <c r="WTU97" s="975" t="s">
        <v>819</v>
      </c>
      <c r="WTV97" s="975" t="s">
        <v>819</v>
      </c>
      <c r="WTW97" s="975" t="s">
        <v>819</v>
      </c>
      <c r="WTX97" s="975" t="s">
        <v>819</v>
      </c>
      <c r="WTY97" s="975" t="s">
        <v>819</v>
      </c>
      <c r="WTZ97" s="975" t="s">
        <v>819</v>
      </c>
      <c r="WUA97" s="975" t="s">
        <v>819</v>
      </c>
      <c r="WUB97" s="975" t="s">
        <v>819</v>
      </c>
      <c r="WUC97" s="975" t="s">
        <v>819</v>
      </c>
      <c r="WUD97" s="975" t="s">
        <v>819</v>
      </c>
      <c r="WUE97" s="975" t="s">
        <v>819</v>
      </c>
      <c r="WUF97" s="975" t="s">
        <v>819</v>
      </c>
      <c r="WUG97" s="975" t="s">
        <v>819</v>
      </c>
      <c r="WUH97" s="975" t="s">
        <v>819</v>
      </c>
      <c r="WUI97" s="975" t="s">
        <v>819</v>
      </c>
      <c r="WUJ97" s="975" t="s">
        <v>819</v>
      </c>
      <c r="WUK97" s="975" t="s">
        <v>819</v>
      </c>
      <c r="WUL97" s="975" t="s">
        <v>819</v>
      </c>
      <c r="WUM97" s="975" t="s">
        <v>819</v>
      </c>
      <c r="WUN97" s="975" t="s">
        <v>819</v>
      </c>
      <c r="WUO97" s="975" t="s">
        <v>819</v>
      </c>
      <c r="WUP97" s="975" t="s">
        <v>819</v>
      </c>
      <c r="WUQ97" s="975" t="s">
        <v>819</v>
      </c>
      <c r="WUR97" s="975" t="s">
        <v>819</v>
      </c>
      <c r="WUS97" s="975" t="s">
        <v>819</v>
      </c>
      <c r="WUT97" s="975" t="s">
        <v>819</v>
      </c>
      <c r="WUU97" s="975" t="s">
        <v>819</v>
      </c>
      <c r="WUV97" s="975" t="s">
        <v>819</v>
      </c>
      <c r="WUW97" s="975" t="s">
        <v>819</v>
      </c>
      <c r="WUX97" s="975" t="s">
        <v>819</v>
      </c>
      <c r="WUY97" s="975" t="s">
        <v>819</v>
      </c>
      <c r="WUZ97" s="975" t="s">
        <v>819</v>
      </c>
      <c r="WVA97" s="975" t="s">
        <v>819</v>
      </c>
      <c r="WVB97" s="975" t="s">
        <v>819</v>
      </c>
      <c r="WVC97" s="975" t="s">
        <v>819</v>
      </c>
      <c r="WVD97" s="975" t="s">
        <v>819</v>
      </c>
      <c r="WVE97" s="975" t="s">
        <v>819</v>
      </c>
      <c r="WVF97" s="975" t="s">
        <v>819</v>
      </c>
      <c r="WVG97" s="975" t="s">
        <v>819</v>
      </c>
      <c r="WVH97" s="975" t="s">
        <v>819</v>
      </c>
      <c r="WVI97" s="975" t="s">
        <v>819</v>
      </c>
      <c r="WVJ97" s="975" t="s">
        <v>819</v>
      </c>
      <c r="WVK97" s="975" t="s">
        <v>819</v>
      </c>
      <c r="WVL97" s="975" t="s">
        <v>819</v>
      </c>
      <c r="WVM97" s="975" t="s">
        <v>819</v>
      </c>
      <c r="WVN97" s="975" t="s">
        <v>819</v>
      </c>
      <c r="WVO97" s="975" t="s">
        <v>819</v>
      </c>
      <c r="WVP97" s="975" t="s">
        <v>819</v>
      </c>
      <c r="WVQ97" s="975" t="s">
        <v>819</v>
      </c>
      <c r="WVR97" s="975" t="s">
        <v>819</v>
      </c>
      <c r="WVS97" s="975" t="s">
        <v>819</v>
      </c>
      <c r="WVT97" s="975" t="s">
        <v>819</v>
      </c>
      <c r="WVU97" s="975" t="s">
        <v>819</v>
      </c>
      <c r="WVV97" s="975" t="s">
        <v>819</v>
      </c>
      <c r="WVW97" s="975" t="s">
        <v>819</v>
      </c>
      <c r="WVX97" s="975" t="s">
        <v>819</v>
      </c>
      <c r="WVY97" s="975" t="s">
        <v>819</v>
      </c>
      <c r="WVZ97" s="975" t="s">
        <v>819</v>
      </c>
      <c r="WWA97" s="975" t="s">
        <v>819</v>
      </c>
      <c r="WWB97" s="975" t="s">
        <v>819</v>
      </c>
      <c r="WWC97" s="975" t="s">
        <v>819</v>
      </c>
      <c r="WWD97" s="975" t="s">
        <v>819</v>
      </c>
      <c r="WWE97" s="975" t="s">
        <v>819</v>
      </c>
      <c r="WWF97" s="975" t="s">
        <v>819</v>
      </c>
      <c r="WWG97" s="975" t="s">
        <v>819</v>
      </c>
      <c r="WWH97" s="975" t="s">
        <v>819</v>
      </c>
      <c r="WWI97" s="975" t="s">
        <v>819</v>
      </c>
      <c r="WWJ97" s="975" t="s">
        <v>819</v>
      </c>
      <c r="WWK97" s="975" t="s">
        <v>819</v>
      </c>
      <c r="WWL97" s="975" t="s">
        <v>819</v>
      </c>
      <c r="WWM97" s="975" t="s">
        <v>819</v>
      </c>
      <c r="WWN97" s="975" t="s">
        <v>819</v>
      </c>
      <c r="WWO97" s="975" t="s">
        <v>819</v>
      </c>
      <c r="WWP97" s="975" t="s">
        <v>819</v>
      </c>
      <c r="WWQ97" s="975" t="s">
        <v>819</v>
      </c>
      <c r="WWR97" s="975" t="s">
        <v>819</v>
      </c>
      <c r="WWS97" s="975" t="s">
        <v>819</v>
      </c>
      <c r="WWT97" s="975" t="s">
        <v>819</v>
      </c>
      <c r="WWU97" s="975" t="s">
        <v>819</v>
      </c>
      <c r="WWV97" s="975" t="s">
        <v>819</v>
      </c>
      <c r="WWW97" s="975" t="s">
        <v>819</v>
      </c>
      <c r="WWX97" s="975" t="s">
        <v>819</v>
      </c>
      <c r="WWY97" s="975" t="s">
        <v>819</v>
      </c>
      <c r="WWZ97" s="975" t="s">
        <v>819</v>
      </c>
      <c r="WXA97" s="975" t="s">
        <v>819</v>
      </c>
      <c r="WXB97" s="975" t="s">
        <v>819</v>
      </c>
      <c r="WXC97" s="975" t="s">
        <v>819</v>
      </c>
      <c r="WXD97" s="975" t="s">
        <v>819</v>
      </c>
      <c r="WXE97" s="975" t="s">
        <v>819</v>
      </c>
      <c r="WXF97" s="975" t="s">
        <v>819</v>
      </c>
      <c r="WXG97" s="975" t="s">
        <v>819</v>
      </c>
      <c r="WXH97" s="975" t="s">
        <v>819</v>
      </c>
      <c r="WXI97" s="975" t="s">
        <v>819</v>
      </c>
      <c r="WXJ97" s="975" t="s">
        <v>819</v>
      </c>
      <c r="WXK97" s="975" t="s">
        <v>819</v>
      </c>
      <c r="WXL97" s="975" t="s">
        <v>819</v>
      </c>
      <c r="WXM97" s="975" t="s">
        <v>819</v>
      </c>
      <c r="WXN97" s="975" t="s">
        <v>819</v>
      </c>
      <c r="WXO97" s="975" t="s">
        <v>819</v>
      </c>
      <c r="WXP97" s="975" t="s">
        <v>819</v>
      </c>
      <c r="WXQ97" s="975" t="s">
        <v>819</v>
      </c>
      <c r="WXR97" s="975" t="s">
        <v>819</v>
      </c>
      <c r="WXS97" s="975" t="s">
        <v>819</v>
      </c>
      <c r="WXT97" s="975" t="s">
        <v>819</v>
      </c>
      <c r="WXU97" s="975" t="s">
        <v>819</v>
      </c>
      <c r="WXV97" s="975" t="s">
        <v>819</v>
      </c>
      <c r="WXW97" s="975" t="s">
        <v>819</v>
      </c>
      <c r="WXX97" s="975" t="s">
        <v>819</v>
      </c>
      <c r="WXY97" s="975" t="s">
        <v>819</v>
      </c>
      <c r="WXZ97" s="975" t="s">
        <v>819</v>
      </c>
      <c r="WYA97" s="975" t="s">
        <v>819</v>
      </c>
      <c r="WYB97" s="975" t="s">
        <v>819</v>
      </c>
      <c r="WYC97" s="975" t="s">
        <v>819</v>
      </c>
      <c r="WYD97" s="975" t="s">
        <v>819</v>
      </c>
      <c r="WYE97" s="975" t="s">
        <v>819</v>
      </c>
      <c r="WYF97" s="975" t="s">
        <v>819</v>
      </c>
      <c r="WYG97" s="975" t="s">
        <v>819</v>
      </c>
      <c r="WYH97" s="975" t="s">
        <v>819</v>
      </c>
      <c r="WYI97" s="975" t="s">
        <v>819</v>
      </c>
      <c r="WYJ97" s="975" t="s">
        <v>819</v>
      </c>
      <c r="WYK97" s="975" t="s">
        <v>819</v>
      </c>
      <c r="WYL97" s="975" t="s">
        <v>819</v>
      </c>
      <c r="WYM97" s="975" t="s">
        <v>819</v>
      </c>
      <c r="WYN97" s="975" t="s">
        <v>819</v>
      </c>
      <c r="WYO97" s="975" t="s">
        <v>819</v>
      </c>
      <c r="WYP97" s="975" t="s">
        <v>819</v>
      </c>
      <c r="WYQ97" s="975" t="s">
        <v>819</v>
      </c>
      <c r="WYR97" s="975" t="s">
        <v>819</v>
      </c>
      <c r="WYS97" s="975" t="s">
        <v>819</v>
      </c>
      <c r="WYT97" s="975" t="s">
        <v>819</v>
      </c>
      <c r="WYU97" s="975" t="s">
        <v>819</v>
      </c>
      <c r="WYV97" s="975" t="s">
        <v>819</v>
      </c>
      <c r="WYW97" s="975" t="s">
        <v>819</v>
      </c>
      <c r="WYX97" s="975" t="s">
        <v>819</v>
      </c>
      <c r="WYY97" s="975" t="s">
        <v>819</v>
      </c>
      <c r="WYZ97" s="975" t="s">
        <v>819</v>
      </c>
      <c r="WZA97" s="975" t="s">
        <v>819</v>
      </c>
      <c r="WZB97" s="975" t="s">
        <v>819</v>
      </c>
      <c r="WZC97" s="975" t="s">
        <v>819</v>
      </c>
      <c r="WZD97" s="975" t="s">
        <v>819</v>
      </c>
      <c r="WZE97" s="975" t="s">
        <v>819</v>
      </c>
      <c r="WZF97" s="975" t="s">
        <v>819</v>
      </c>
      <c r="WZG97" s="975" t="s">
        <v>819</v>
      </c>
      <c r="WZH97" s="975" t="s">
        <v>819</v>
      </c>
      <c r="WZI97" s="975" t="s">
        <v>819</v>
      </c>
      <c r="WZJ97" s="975" t="s">
        <v>819</v>
      </c>
      <c r="WZK97" s="975" t="s">
        <v>819</v>
      </c>
      <c r="WZL97" s="975" t="s">
        <v>819</v>
      </c>
      <c r="WZM97" s="975" t="s">
        <v>819</v>
      </c>
      <c r="WZN97" s="975" t="s">
        <v>819</v>
      </c>
      <c r="WZO97" s="975" t="s">
        <v>819</v>
      </c>
      <c r="WZP97" s="975" t="s">
        <v>819</v>
      </c>
      <c r="WZQ97" s="975" t="s">
        <v>819</v>
      </c>
      <c r="WZR97" s="975" t="s">
        <v>819</v>
      </c>
      <c r="WZS97" s="975" t="s">
        <v>819</v>
      </c>
      <c r="WZT97" s="975" t="s">
        <v>819</v>
      </c>
      <c r="WZU97" s="975" t="s">
        <v>819</v>
      </c>
      <c r="WZV97" s="975" t="s">
        <v>819</v>
      </c>
      <c r="WZW97" s="975" t="s">
        <v>819</v>
      </c>
      <c r="WZX97" s="975" t="s">
        <v>819</v>
      </c>
      <c r="WZY97" s="975" t="s">
        <v>819</v>
      </c>
      <c r="WZZ97" s="975" t="s">
        <v>819</v>
      </c>
      <c r="XAA97" s="975" t="s">
        <v>819</v>
      </c>
      <c r="XAB97" s="975" t="s">
        <v>819</v>
      </c>
      <c r="XAC97" s="975" t="s">
        <v>819</v>
      </c>
      <c r="XAD97" s="975" t="s">
        <v>819</v>
      </c>
      <c r="XAE97" s="975" t="s">
        <v>819</v>
      </c>
      <c r="XAF97" s="975" t="s">
        <v>819</v>
      </c>
      <c r="XAG97" s="975" t="s">
        <v>819</v>
      </c>
      <c r="XAH97" s="975" t="s">
        <v>819</v>
      </c>
      <c r="XAI97" s="975" t="s">
        <v>819</v>
      </c>
      <c r="XAJ97" s="975" t="s">
        <v>819</v>
      </c>
      <c r="XAK97" s="975" t="s">
        <v>819</v>
      </c>
      <c r="XAL97" s="975" t="s">
        <v>819</v>
      </c>
      <c r="XAM97" s="975" t="s">
        <v>819</v>
      </c>
      <c r="XAN97" s="975" t="s">
        <v>819</v>
      </c>
      <c r="XAO97" s="975" t="s">
        <v>819</v>
      </c>
      <c r="XAP97" s="975" t="s">
        <v>819</v>
      </c>
      <c r="XAQ97" s="975" t="s">
        <v>819</v>
      </c>
      <c r="XAR97" s="975" t="s">
        <v>819</v>
      </c>
      <c r="XAS97" s="975" t="s">
        <v>819</v>
      </c>
      <c r="XAT97" s="975" t="s">
        <v>819</v>
      </c>
      <c r="XAU97" s="975" t="s">
        <v>819</v>
      </c>
      <c r="XAV97" s="975" t="s">
        <v>819</v>
      </c>
      <c r="XAW97" s="975" t="s">
        <v>819</v>
      </c>
      <c r="XAX97" s="975" t="s">
        <v>819</v>
      </c>
      <c r="XAY97" s="975" t="s">
        <v>819</v>
      </c>
      <c r="XAZ97" s="975" t="s">
        <v>819</v>
      </c>
      <c r="XBA97" s="975" t="s">
        <v>819</v>
      </c>
      <c r="XBB97" s="975" t="s">
        <v>819</v>
      </c>
      <c r="XBC97" s="975" t="s">
        <v>819</v>
      </c>
      <c r="XBD97" s="975" t="s">
        <v>819</v>
      </c>
      <c r="XBE97" s="975" t="s">
        <v>819</v>
      </c>
      <c r="XBF97" s="975" t="s">
        <v>819</v>
      </c>
      <c r="XBG97" s="975" t="s">
        <v>819</v>
      </c>
      <c r="XBH97" s="975" t="s">
        <v>819</v>
      </c>
      <c r="XBI97" s="975" t="s">
        <v>819</v>
      </c>
      <c r="XBJ97" s="975" t="s">
        <v>819</v>
      </c>
      <c r="XBK97" s="975" t="s">
        <v>819</v>
      </c>
      <c r="XBL97" s="975" t="s">
        <v>819</v>
      </c>
      <c r="XBM97" s="975" t="s">
        <v>819</v>
      </c>
      <c r="XBN97" s="975" t="s">
        <v>819</v>
      </c>
      <c r="XBO97" s="975" t="s">
        <v>819</v>
      </c>
      <c r="XBP97" s="975" t="s">
        <v>819</v>
      </c>
      <c r="XBQ97" s="975" t="s">
        <v>819</v>
      </c>
      <c r="XBR97" s="975" t="s">
        <v>819</v>
      </c>
      <c r="XBS97" s="975" t="s">
        <v>819</v>
      </c>
      <c r="XBT97" s="975" t="s">
        <v>819</v>
      </c>
      <c r="XBU97" s="975" t="s">
        <v>819</v>
      </c>
      <c r="XBV97" s="975" t="s">
        <v>819</v>
      </c>
      <c r="XBW97" s="975" t="s">
        <v>819</v>
      </c>
      <c r="XBX97" s="975" t="s">
        <v>819</v>
      </c>
      <c r="XBY97" s="975" t="s">
        <v>819</v>
      </c>
      <c r="XBZ97" s="975" t="s">
        <v>819</v>
      </c>
      <c r="XCA97" s="975" t="s">
        <v>819</v>
      </c>
      <c r="XCB97" s="975" t="s">
        <v>819</v>
      </c>
      <c r="XCC97" s="975" t="s">
        <v>819</v>
      </c>
      <c r="XCD97" s="975" t="s">
        <v>819</v>
      </c>
      <c r="XCE97" s="975" t="s">
        <v>819</v>
      </c>
      <c r="XCF97" s="975" t="s">
        <v>819</v>
      </c>
      <c r="XCG97" s="975" t="s">
        <v>819</v>
      </c>
      <c r="XCH97" s="975" t="s">
        <v>819</v>
      </c>
      <c r="XCI97" s="975" t="s">
        <v>819</v>
      </c>
      <c r="XCJ97" s="975" t="s">
        <v>819</v>
      </c>
      <c r="XCK97" s="975" t="s">
        <v>819</v>
      </c>
      <c r="XCL97" s="975" t="s">
        <v>819</v>
      </c>
      <c r="XCM97" s="975" t="s">
        <v>819</v>
      </c>
      <c r="XCN97" s="975" t="s">
        <v>819</v>
      </c>
      <c r="XCO97" s="975" t="s">
        <v>819</v>
      </c>
      <c r="XCP97" s="975" t="s">
        <v>819</v>
      </c>
      <c r="XCQ97" s="975" t="s">
        <v>819</v>
      </c>
      <c r="XCR97" s="975" t="s">
        <v>819</v>
      </c>
      <c r="XCS97" s="975" t="s">
        <v>819</v>
      </c>
      <c r="XCT97" s="975" t="s">
        <v>819</v>
      </c>
      <c r="XCU97" s="975" t="s">
        <v>819</v>
      </c>
      <c r="XCV97" s="975" t="s">
        <v>819</v>
      </c>
      <c r="XCW97" s="975" t="s">
        <v>819</v>
      </c>
      <c r="XCX97" s="975" t="s">
        <v>819</v>
      </c>
      <c r="XCY97" s="975" t="s">
        <v>819</v>
      </c>
      <c r="XCZ97" s="975" t="s">
        <v>819</v>
      </c>
      <c r="XDA97" s="975" t="s">
        <v>819</v>
      </c>
      <c r="XDB97" s="975" t="s">
        <v>819</v>
      </c>
      <c r="XDC97" s="975" t="s">
        <v>819</v>
      </c>
      <c r="XDD97" s="975" t="s">
        <v>819</v>
      </c>
      <c r="XDE97" s="975" t="s">
        <v>819</v>
      </c>
      <c r="XDF97" s="975" t="s">
        <v>819</v>
      </c>
      <c r="XDG97" s="975" t="s">
        <v>819</v>
      </c>
      <c r="XDH97" s="975" t="s">
        <v>819</v>
      </c>
      <c r="XDI97" s="975" t="s">
        <v>819</v>
      </c>
      <c r="XDJ97" s="975" t="s">
        <v>819</v>
      </c>
      <c r="XDK97" s="975" t="s">
        <v>819</v>
      </c>
      <c r="XDL97" s="975" t="s">
        <v>819</v>
      </c>
      <c r="XDM97" s="975" t="s">
        <v>819</v>
      </c>
      <c r="XDN97" s="975" t="s">
        <v>819</v>
      </c>
      <c r="XDO97" s="975" t="s">
        <v>819</v>
      </c>
      <c r="XDP97" s="975" t="s">
        <v>819</v>
      </c>
      <c r="XDQ97" s="975" t="s">
        <v>819</v>
      </c>
      <c r="XDR97" s="975" t="s">
        <v>819</v>
      </c>
      <c r="XDS97" s="975" t="s">
        <v>819</v>
      </c>
      <c r="XDT97" s="975" t="s">
        <v>819</v>
      </c>
      <c r="XDU97" s="975" t="s">
        <v>819</v>
      </c>
      <c r="XDV97" s="975" t="s">
        <v>819</v>
      </c>
      <c r="XDW97" s="975" t="s">
        <v>819</v>
      </c>
      <c r="XDX97" s="975" t="s">
        <v>819</v>
      </c>
      <c r="XDY97" s="975" t="s">
        <v>819</v>
      </c>
      <c r="XDZ97" s="975" t="s">
        <v>819</v>
      </c>
      <c r="XEA97" s="975" t="s">
        <v>819</v>
      </c>
      <c r="XEB97" s="975" t="s">
        <v>819</v>
      </c>
      <c r="XEC97" s="975" t="s">
        <v>819</v>
      </c>
      <c r="XED97" s="975" t="s">
        <v>819</v>
      </c>
      <c r="XEE97" s="975" t="s">
        <v>819</v>
      </c>
      <c r="XEF97" s="975" t="s">
        <v>819</v>
      </c>
      <c r="XEG97" s="975" t="s">
        <v>819</v>
      </c>
      <c r="XEH97" s="975" t="s">
        <v>819</v>
      </c>
      <c r="XEI97" s="975" t="s">
        <v>819</v>
      </c>
      <c r="XEJ97" s="975" t="s">
        <v>819</v>
      </c>
      <c r="XEK97" s="975" t="s">
        <v>819</v>
      </c>
      <c r="XEL97" s="975" t="s">
        <v>819</v>
      </c>
      <c r="XEM97" s="975" t="s">
        <v>819</v>
      </c>
      <c r="XEN97" s="975" t="s">
        <v>819</v>
      </c>
      <c r="XEO97" s="975" t="s">
        <v>819</v>
      </c>
      <c r="XEP97" s="975" t="s">
        <v>819</v>
      </c>
      <c r="XEQ97" s="975" t="s">
        <v>819</v>
      </c>
      <c r="XER97" s="975" t="s">
        <v>819</v>
      </c>
      <c r="XES97" s="975" t="s">
        <v>819</v>
      </c>
      <c r="XET97" s="975" t="s">
        <v>819</v>
      </c>
      <c r="XEU97" s="975" t="s">
        <v>819</v>
      </c>
      <c r="XEV97" s="975" t="s">
        <v>819</v>
      </c>
      <c r="XEW97" s="975" t="s">
        <v>819</v>
      </c>
      <c r="XEX97" s="975" t="s">
        <v>819</v>
      </c>
      <c r="XEY97" s="975" t="s">
        <v>819</v>
      </c>
      <c r="XEZ97" s="975" t="s">
        <v>819</v>
      </c>
      <c r="XFA97" s="975" t="s">
        <v>819</v>
      </c>
      <c r="XFB97" s="975" t="s">
        <v>819</v>
      </c>
      <c r="XFC97" s="975" t="s">
        <v>819</v>
      </c>
      <c r="XFD97" s="975" t="s">
        <v>819</v>
      </c>
    </row>
    <row r="98" spans="1:16384">
      <c r="A98" s="1298" t="s">
        <v>824</v>
      </c>
    </row>
    <row r="99" spans="1:16384">
      <c r="A99" s="1298" t="s">
        <v>825</v>
      </c>
    </row>
    <row r="100" spans="1:16384">
      <c r="A100" s="1298" t="s">
        <v>826</v>
      </c>
    </row>
    <row r="101" spans="1:16384">
      <c r="A101" s="1298" t="s">
        <v>827</v>
      </c>
    </row>
    <row r="102" spans="1:16384">
      <c r="A102" s="1298" t="s">
        <v>828</v>
      </c>
    </row>
    <row r="103" spans="1:16384">
      <c r="A103" s="1298" t="s">
        <v>829</v>
      </c>
    </row>
    <row r="104" spans="1:16384">
      <c r="A104" s="1298" t="s">
        <v>830</v>
      </c>
    </row>
    <row r="105" spans="1:16384" s="77" customFormat="1">
      <c r="A105" s="1298" t="s">
        <v>831</v>
      </c>
    </row>
    <row r="106" spans="1:16384" s="77" customFormat="1">
      <c r="A106" s="1298" t="s">
        <v>832</v>
      </c>
    </row>
    <row r="107" spans="1:16384">
      <c r="A107" s="1298" t="s">
        <v>898</v>
      </c>
    </row>
    <row r="108" spans="1:16384" s="77" customFormat="1">
      <c r="A108" s="975"/>
    </row>
    <row r="109" spans="1:16384">
      <c r="A109" s="974" t="s">
        <v>845</v>
      </c>
    </row>
    <row r="110" spans="1:16384" s="77" customFormat="1" ht="9.75" customHeight="1">
      <c r="A110" s="974"/>
    </row>
    <row r="111" spans="1:16384" s="77" customFormat="1">
      <c r="A111" s="1298" t="s">
        <v>834</v>
      </c>
    </row>
    <row r="112" spans="1:16384">
      <c r="A112" s="1298" t="s">
        <v>835</v>
      </c>
    </row>
    <row r="113" spans="1:1">
      <c r="A113" s="1298" t="s">
        <v>836</v>
      </c>
    </row>
    <row r="114" spans="1:1" s="77" customFormat="1">
      <c r="A114" s="1298" t="s">
        <v>837</v>
      </c>
    </row>
    <row r="115" spans="1:1">
      <c r="A115" s="1298" t="s">
        <v>838</v>
      </c>
    </row>
    <row r="116" spans="1:1">
      <c r="A116" s="1298" t="s">
        <v>839</v>
      </c>
    </row>
    <row r="117" spans="1:1">
      <c r="A117" s="1298" t="s">
        <v>840</v>
      </c>
    </row>
    <row r="118" spans="1:1" s="77" customFormat="1">
      <c r="A118" s="1298" t="s">
        <v>841</v>
      </c>
    </row>
    <row r="119" spans="1:1" s="77" customFormat="1">
      <c r="A119" s="1298" t="s">
        <v>842</v>
      </c>
    </row>
    <row r="120" spans="1:1" ht="8.25" customHeight="1">
      <c r="A120" s="975"/>
    </row>
    <row r="121" spans="1:1">
      <c r="A121" s="974" t="s">
        <v>846</v>
      </c>
    </row>
    <row r="122" spans="1:1" s="77" customFormat="1" ht="4.5" customHeight="1">
      <c r="A122" s="974"/>
    </row>
    <row r="123" spans="1:1" s="77" customFormat="1">
      <c r="A123" s="1298" t="s">
        <v>901</v>
      </c>
    </row>
    <row r="124" spans="1:1">
      <c r="A124" s="1298" t="s">
        <v>900</v>
      </c>
    </row>
    <row r="125" spans="1:1" s="77" customFormat="1">
      <c r="A125" s="1298" t="s">
        <v>899</v>
      </c>
    </row>
    <row r="126" spans="1:1" s="77" customFormat="1">
      <c r="A126"/>
    </row>
    <row r="127" spans="1:1">
      <c r="A127" s="972" t="s">
        <v>657</v>
      </c>
    </row>
    <row r="128" spans="1:1" ht="24.75" customHeight="1">
      <c r="A128" s="972"/>
    </row>
    <row r="129" spans="1:1">
      <c r="A129" s="976" t="s">
        <v>658</v>
      </c>
    </row>
    <row r="130" spans="1:1" ht="23.25" customHeight="1">
      <c r="A130" s="1298" t="s">
        <v>848</v>
      </c>
    </row>
    <row r="131" spans="1:1" s="77" customFormat="1">
      <c r="A131" s="1298" t="s">
        <v>847</v>
      </c>
    </row>
    <row r="132" spans="1:1">
      <c r="A132" s="1298" t="s">
        <v>849</v>
      </c>
    </row>
    <row r="133" spans="1:1">
      <c r="A133" s="1298" t="s">
        <v>902</v>
      </c>
    </row>
    <row r="134" spans="1:1">
      <c r="A134" s="975"/>
    </row>
    <row r="135" spans="1:1">
      <c r="A135" s="976" t="s">
        <v>659</v>
      </c>
    </row>
    <row r="136" spans="1:1" s="77" customFormat="1" ht="6" customHeight="1">
      <c r="A136" s="976"/>
    </row>
    <row r="137" spans="1:1" s="77" customFormat="1">
      <c r="A137" s="1298" t="s">
        <v>905</v>
      </c>
    </row>
    <row r="138" spans="1:1" s="77" customFormat="1">
      <c r="A138" s="1298" t="s">
        <v>955</v>
      </c>
    </row>
    <row r="139" spans="1:1">
      <c r="A139" s="1298" t="s">
        <v>850</v>
      </c>
    </row>
    <row r="140" spans="1:1">
      <c r="A140" s="1298" t="s">
        <v>903</v>
      </c>
    </row>
    <row r="141" spans="1:1" ht="8.25" customHeight="1">
      <c r="A141" s="975"/>
    </row>
    <row r="142" spans="1:1">
      <c r="A142" s="976" t="s">
        <v>660</v>
      </c>
    </row>
    <row r="143" spans="1:1" ht="8.25" customHeight="1">
      <c r="A143" s="975"/>
    </row>
    <row r="144" spans="1:1" s="77" customFormat="1">
      <c r="A144" s="1298" t="s">
        <v>852</v>
      </c>
    </row>
    <row r="145" spans="1:1" s="77" customFormat="1">
      <c r="A145" s="1298" t="s">
        <v>851</v>
      </c>
    </row>
    <row r="146" spans="1:1" s="77" customFormat="1">
      <c r="A146" s="1298" t="s">
        <v>661</v>
      </c>
    </row>
    <row r="147" spans="1:1">
      <c r="A147" s="1298" t="s">
        <v>853</v>
      </c>
    </row>
    <row r="148" spans="1:1">
      <c r="A148" s="1298" t="s">
        <v>854</v>
      </c>
    </row>
    <row r="150" spans="1:1">
      <c r="A150" s="976" t="s">
        <v>666</v>
      </c>
    </row>
    <row r="152" spans="1:1" s="77" customFormat="1">
      <c r="A152" s="1298" t="s">
        <v>855</v>
      </c>
    </row>
    <row r="153" spans="1:1">
      <c r="A153" s="1298" t="s">
        <v>856</v>
      </c>
    </row>
    <row r="154" spans="1:1">
      <c r="A154" s="1298" t="s">
        <v>857</v>
      </c>
    </row>
    <row r="155" spans="1:1">
      <c r="A155" s="1298" t="s">
        <v>858</v>
      </c>
    </row>
    <row r="156" spans="1:1">
      <c r="A156" s="1298" t="s">
        <v>859</v>
      </c>
    </row>
    <row r="157" spans="1:1">
      <c r="A157" s="1298" t="s">
        <v>860</v>
      </c>
    </row>
    <row r="158" spans="1:1">
      <c r="A158" s="1298" t="s">
        <v>861</v>
      </c>
    </row>
    <row r="159" spans="1:1">
      <c r="A159" s="1298" t="s">
        <v>862</v>
      </c>
    </row>
    <row r="160" spans="1:1">
      <c r="A160" s="1298" t="s">
        <v>863</v>
      </c>
    </row>
    <row r="161" spans="1:1">
      <c r="A161" s="1298" t="s">
        <v>864</v>
      </c>
    </row>
    <row r="162" spans="1:1">
      <c r="A162" s="1298" t="s">
        <v>865</v>
      </c>
    </row>
    <row r="163" spans="1:1">
      <c r="A163" s="1298" t="s">
        <v>866</v>
      </c>
    </row>
    <row r="164" spans="1:1" s="77" customFormat="1">
      <c r="A164" s="1298" t="s">
        <v>867</v>
      </c>
    </row>
    <row r="165" spans="1:1" s="77" customFormat="1">
      <c r="A165" s="1298" t="s">
        <v>868</v>
      </c>
    </row>
    <row r="166" spans="1:1" s="77" customFormat="1">
      <c r="A166" s="1298" t="s">
        <v>869</v>
      </c>
    </row>
    <row r="167" spans="1:1" s="77" customFormat="1">
      <c r="A167" s="1298" t="s">
        <v>870</v>
      </c>
    </row>
    <row r="168" spans="1:1" s="77" customFormat="1">
      <c r="A168" s="1298" t="s">
        <v>871</v>
      </c>
    </row>
    <row r="169" spans="1:1" s="77" customFormat="1">
      <c r="A169" s="1298" t="s">
        <v>872</v>
      </c>
    </row>
    <row r="170" spans="1:1" s="77" customFormat="1">
      <c r="A170" s="1298" t="s">
        <v>873</v>
      </c>
    </row>
    <row r="171" spans="1:1" s="77" customFormat="1">
      <c r="A171" s="1298" t="s">
        <v>874</v>
      </c>
    </row>
    <row r="172" spans="1:1" s="77" customFormat="1">
      <c r="A172" s="1298" t="s">
        <v>875</v>
      </c>
    </row>
    <row r="173" spans="1:1" s="77" customFormat="1">
      <c r="A173" s="1298" t="s">
        <v>876</v>
      </c>
    </row>
    <row r="174" spans="1:1" s="77" customFormat="1">
      <c r="A174" s="1298" t="s">
        <v>877</v>
      </c>
    </row>
    <row r="175" spans="1:1" s="77" customFormat="1">
      <c r="A175" s="1298" t="s">
        <v>878</v>
      </c>
    </row>
    <row r="176" spans="1:1" s="77" customFormat="1">
      <c r="A176" s="1298" t="s">
        <v>904</v>
      </c>
    </row>
    <row r="177" spans="1:1" s="77" customFormat="1">
      <c r="A177" s="975"/>
    </row>
    <row r="178" spans="1:1">
      <c r="A178" s="972" t="s">
        <v>667</v>
      </c>
    </row>
    <row r="179" spans="1:1" s="77" customFormat="1">
      <c r="A179" s="972"/>
    </row>
    <row r="180" spans="1:1">
      <c r="A180" s="1298" t="s">
        <v>879</v>
      </c>
    </row>
    <row r="181" spans="1:1">
      <c r="A181" s="1298" t="s">
        <v>880</v>
      </c>
    </row>
    <row r="182" spans="1:1">
      <c r="A182" s="1298" t="s">
        <v>956</v>
      </c>
    </row>
    <row r="183" spans="1:1" s="77" customFormat="1">
      <c r="A183" s="1298" t="s">
        <v>957</v>
      </c>
    </row>
    <row r="185" spans="1:1">
      <c r="A185" s="972" t="s">
        <v>662</v>
      </c>
    </row>
    <row r="187" spans="1:1">
      <c r="A187" s="1298" t="s">
        <v>663</v>
      </c>
    </row>
    <row r="188" spans="1:1">
      <c r="A188" s="1298" t="s">
        <v>664</v>
      </c>
    </row>
    <row r="190" spans="1:1">
      <c r="A190" s="972" t="s">
        <v>906</v>
      </c>
    </row>
    <row r="192" spans="1:1">
      <c r="A192" s="1298" t="s">
        <v>907</v>
      </c>
    </row>
    <row r="193" spans="1:1">
      <c r="A193" s="1298" t="s">
        <v>908</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MEPYD)"/>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87" location="'VII.1 Ocup. formal'!A1" display="VII.1  Distribución de la Población Ocupada Formal por Rama de Actividad"/>
    <hyperlink ref="A188" location="'VII.2 Pob. econ.'!A1" display="V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192" location="' VIII.1.a SDSS Definiciones'!A1" display="VIII.1  Definiciones de Sistema Dominicano de Seguridad Social"/>
    <hyperlink ref="A193" location="'VIII.2a. Logros '!A1" display="VIII.2 Logros del Sistema Dominicano de Seguridad Social"/>
  </hyperlinks>
  <pageMargins left="0.7" right="0.7" top="0.75" bottom="0.75" header="0.3" footer="0.3"/>
  <pageSetup scale="99" fitToHeight="0" orientation="portrait" r:id="rId1"/>
  <rowBreaks count="3" manualBreakCount="3">
    <brk id="50" man="1"/>
    <brk id="98" man="1"/>
    <brk id="14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V55"/>
  <sheetViews>
    <sheetView showGridLines="0" view="pageBreakPreview" zoomScale="55" zoomScaleNormal="100" zoomScaleSheetLayoutView="55" zoomScalePageLayoutView="62" workbookViewId="0">
      <selection activeCell="L13" sqref="L13"/>
    </sheetView>
  </sheetViews>
  <sheetFormatPr baseColWidth="10" defaultColWidth="11.42578125" defaultRowHeight="15"/>
  <cols>
    <col min="1" max="1" width="18.42578125" style="77" customWidth="1"/>
    <col min="2" max="2" width="22.7109375" style="77" customWidth="1"/>
    <col min="3" max="3" width="26.140625" style="77" customWidth="1"/>
    <col min="4" max="4" width="21.140625" style="77" customWidth="1"/>
    <col min="5" max="5" width="26" style="77" customWidth="1"/>
    <col min="6" max="8" width="16.2851562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6384" width="11.42578125" style="77"/>
  </cols>
  <sheetData>
    <row r="1" spans="1:18" ht="87" customHeight="1">
      <c r="A1" s="1837"/>
      <c r="B1" s="1837"/>
      <c r="C1" s="1837"/>
      <c r="D1" s="1837"/>
      <c r="E1" s="1837"/>
      <c r="F1" s="1837"/>
      <c r="G1" s="1837"/>
      <c r="H1" s="1837"/>
      <c r="I1" s="1837"/>
      <c r="J1" s="1837"/>
      <c r="K1" s="1837"/>
      <c r="L1" s="1837"/>
      <c r="M1" s="1837"/>
      <c r="N1" s="1837"/>
      <c r="O1" s="1837"/>
      <c r="P1" s="1837"/>
      <c r="Q1" s="1837"/>
    </row>
    <row r="2" spans="1:18" ht="19.5" customHeight="1">
      <c r="A2" s="189"/>
      <c r="B2" s="189"/>
      <c r="C2" s="189"/>
      <c r="D2" s="189"/>
      <c r="E2" s="189"/>
      <c r="F2" s="189"/>
      <c r="G2" s="189"/>
      <c r="H2" s="189"/>
      <c r="I2" s="189"/>
      <c r="J2" s="189"/>
      <c r="K2" s="189"/>
      <c r="L2" s="189"/>
      <c r="M2" s="189"/>
      <c r="N2" s="189"/>
      <c r="O2" s="189"/>
      <c r="P2" s="189"/>
    </row>
    <row r="3" spans="1:18" ht="55.5" customHeight="1">
      <c r="A3" s="366" t="s">
        <v>248</v>
      </c>
      <c r="B3" s="311" t="s">
        <v>558</v>
      </c>
      <c r="C3" s="311" t="s">
        <v>559</v>
      </c>
      <c r="D3" s="311" t="s">
        <v>560</v>
      </c>
      <c r="E3" s="311" t="s">
        <v>561</v>
      </c>
      <c r="F3" s="311" t="s">
        <v>245</v>
      </c>
      <c r="G3" s="311" t="s">
        <v>246</v>
      </c>
      <c r="H3" s="312" t="s">
        <v>417</v>
      </c>
      <c r="I3" s="251"/>
      <c r="J3" s="251"/>
      <c r="K3" s="251"/>
      <c r="L3" s="251"/>
      <c r="M3" s="251"/>
      <c r="N3" s="251"/>
      <c r="O3" s="251"/>
      <c r="P3" s="252" t="s">
        <v>533</v>
      </c>
      <c r="Q3" s="61"/>
      <c r="R3" s="61"/>
    </row>
    <row r="4" spans="1:18" ht="25.5" customHeight="1">
      <c r="A4" s="314" t="s">
        <v>28</v>
      </c>
      <c r="B4" s="1174"/>
      <c r="C4" s="1174">
        <v>266531</v>
      </c>
      <c r="D4" s="1175">
        <v>0</v>
      </c>
      <c r="E4" s="1176">
        <f>B4+C4+D4</f>
        <v>266531</v>
      </c>
      <c r="F4" s="1177"/>
      <c r="G4" s="1178">
        <f t="shared" ref="G4:G10" si="0">C4/E4</f>
        <v>1</v>
      </c>
      <c r="H4" s="1179"/>
      <c r="I4" s="246"/>
      <c r="J4" s="246"/>
      <c r="K4" s="246"/>
      <c r="L4" s="249"/>
      <c r="M4" s="247"/>
      <c r="N4" s="247" t="s">
        <v>180</v>
      </c>
      <c r="O4" s="248"/>
      <c r="P4" s="250">
        <f t="shared" ref="P4:P9" si="1">L4/E4</f>
        <v>0</v>
      </c>
      <c r="Q4" s="61"/>
      <c r="R4" s="61"/>
    </row>
    <row r="5" spans="1:18" ht="25.5" customHeight="1">
      <c r="A5" s="314" t="s">
        <v>29</v>
      </c>
      <c r="B5" s="1174"/>
      <c r="C5" s="1174">
        <v>513416</v>
      </c>
      <c r="D5" s="1175">
        <v>0</v>
      </c>
      <c r="E5" s="1176">
        <f>B5+C5+D5</f>
        <v>513416</v>
      </c>
      <c r="F5" s="1177"/>
      <c r="G5" s="1178">
        <f t="shared" si="0"/>
        <v>1</v>
      </c>
      <c r="H5" s="1179"/>
      <c r="I5" s="246"/>
      <c r="J5" s="246"/>
      <c r="K5" s="246"/>
      <c r="L5" s="249"/>
      <c r="M5" s="247"/>
      <c r="N5" s="247"/>
      <c r="O5" s="248"/>
      <c r="P5" s="250">
        <f t="shared" si="1"/>
        <v>0</v>
      </c>
      <c r="Q5" s="61"/>
      <c r="R5" s="61"/>
    </row>
    <row r="6" spans="1:18" ht="25.5" customHeight="1">
      <c r="A6" s="314" t="s">
        <v>30</v>
      </c>
      <c r="B6" s="1174">
        <v>1599467</v>
      </c>
      <c r="C6" s="1174">
        <v>1081936</v>
      </c>
      <c r="D6" s="1175">
        <v>0</v>
      </c>
      <c r="E6" s="1176">
        <f t="shared" ref="E6:E13" si="2">B6+C6+D6</f>
        <v>2681403</v>
      </c>
      <c r="F6" s="1178">
        <f t="shared" ref="F6:F14" si="3">B6/E6</f>
        <v>0.59650377060068926</v>
      </c>
      <c r="G6" s="1178">
        <f t="shared" si="0"/>
        <v>0.40349622939931074</v>
      </c>
      <c r="H6" s="1179"/>
      <c r="I6" s="246"/>
      <c r="J6" s="246"/>
      <c r="K6" s="246"/>
      <c r="L6" s="249"/>
      <c r="M6" s="247"/>
      <c r="N6" s="247"/>
      <c r="O6" s="248"/>
      <c r="P6" s="250">
        <f t="shared" si="1"/>
        <v>0</v>
      </c>
      <c r="Q6" s="61"/>
      <c r="R6" s="61"/>
    </row>
    <row r="7" spans="1:18" ht="25.5" customHeight="1">
      <c r="A7" s="314" t="s">
        <v>31</v>
      </c>
      <c r="B7" s="1174">
        <v>1729671</v>
      </c>
      <c r="C7" s="1174">
        <v>1224643</v>
      </c>
      <c r="D7" s="1175">
        <v>0</v>
      </c>
      <c r="E7" s="1176">
        <f t="shared" si="2"/>
        <v>2954314</v>
      </c>
      <c r="F7" s="1178">
        <f t="shared" si="3"/>
        <v>0.5854729727442648</v>
      </c>
      <c r="G7" s="1178">
        <f t="shared" si="0"/>
        <v>0.41452702725573515</v>
      </c>
      <c r="H7" s="1179"/>
      <c r="I7" s="246"/>
      <c r="J7" s="246"/>
      <c r="K7" s="246"/>
      <c r="L7" s="249"/>
      <c r="M7" s="247"/>
      <c r="N7" s="247"/>
      <c r="O7" s="248"/>
      <c r="P7" s="250">
        <f t="shared" si="1"/>
        <v>0</v>
      </c>
      <c r="Q7" s="61"/>
      <c r="R7" s="61"/>
    </row>
    <row r="8" spans="1:18" ht="25.5" customHeight="1">
      <c r="A8" s="314" t="s">
        <v>32</v>
      </c>
      <c r="B8" s="1174">
        <v>2096232</v>
      </c>
      <c r="C8" s="1174">
        <v>1346166</v>
      </c>
      <c r="D8" s="1175">
        <v>18375</v>
      </c>
      <c r="E8" s="1176">
        <f t="shared" si="2"/>
        <v>3460773</v>
      </c>
      <c r="F8" s="1178">
        <f t="shared" si="3"/>
        <v>0.60571207646384206</v>
      </c>
      <c r="G8" s="1178">
        <f t="shared" si="0"/>
        <v>0.3889784160937455</v>
      </c>
      <c r="H8" s="1180">
        <f t="shared" ref="H8:H14" si="4">D8/E8</f>
        <v>5.309507442412432E-3</v>
      </c>
      <c r="I8" s="246"/>
      <c r="J8" s="246"/>
      <c r="K8" s="246"/>
      <c r="L8" s="249"/>
      <c r="M8" s="247"/>
      <c r="N8" s="247"/>
      <c r="O8" s="248"/>
      <c r="P8" s="250">
        <f t="shared" si="1"/>
        <v>0</v>
      </c>
      <c r="Q8" s="61"/>
      <c r="R8" s="61"/>
    </row>
    <row r="9" spans="1:18" ht="25.5" customHeight="1">
      <c r="A9" s="314" t="s">
        <v>195</v>
      </c>
      <c r="B9" s="1174">
        <v>2417992</v>
      </c>
      <c r="C9" s="1174">
        <v>1847833</v>
      </c>
      <c r="D9" s="1175">
        <v>27177</v>
      </c>
      <c r="E9" s="1176">
        <f t="shared" si="2"/>
        <v>4293002</v>
      </c>
      <c r="F9" s="1178">
        <f t="shared" si="3"/>
        <v>0.56324036187264759</v>
      </c>
      <c r="G9" s="1178">
        <f t="shared" si="0"/>
        <v>0.43042910299133336</v>
      </c>
      <c r="H9" s="1180">
        <f t="shared" si="4"/>
        <v>6.3305351360190372E-3</v>
      </c>
      <c r="I9" s="246"/>
      <c r="J9" s="246"/>
      <c r="K9" s="246"/>
      <c r="L9" s="249"/>
      <c r="M9" s="247"/>
      <c r="N9" s="247"/>
      <c r="O9" s="248"/>
      <c r="P9" s="250">
        <f t="shared" si="1"/>
        <v>0</v>
      </c>
      <c r="Q9" s="61"/>
      <c r="R9" s="61"/>
    </row>
    <row r="10" spans="1:18" ht="25.5" customHeight="1">
      <c r="A10" s="314" t="s">
        <v>241</v>
      </c>
      <c r="B10" s="1174">
        <v>2586943</v>
      </c>
      <c r="C10" s="1174">
        <v>1996335</v>
      </c>
      <c r="D10" s="1175">
        <v>29648</v>
      </c>
      <c r="E10" s="1176">
        <f t="shared" si="2"/>
        <v>4612926</v>
      </c>
      <c r="F10" s="1178">
        <f t="shared" si="3"/>
        <v>0.56080305645484019</v>
      </c>
      <c r="G10" s="1178">
        <f t="shared" si="0"/>
        <v>0.43276978646525005</v>
      </c>
      <c r="H10" s="1180">
        <f t="shared" si="4"/>
        <v>6.4271570799098012E-3</v>
      </c>
      <c r="I10" s="246"/>
      <c r="J10" s="246"/>
      <c r="K10" s="246"/>
      <c r="L10" s="249"/>
      <c r="M10" s="247"/>
      <c r="N10" s="247"/>
      <c r="O10" s="247"/>
      <c r="P10" s="250">
        <f>L10/E10</f>
        <v>0</v>
      </c>
      <c r="Q10" s="61"/>
      <c r="R10" s="61"/>
    </row>
    <row r="11" spans="1:18" ht="25.5" customHeight="1">
      <c r="A11" s="314" t="s">
        <v>484</v>
      </c>
      <c r="B11" s="1174">
        <v>2747735</v>
      </c>
      <c r="C11" s="1174">
        <v>2294356</v>
      </c>
      <c r="D11" s="1175">
        <v>30884</v>
      </c>
      <c r="E11" s="1176">
        <f t="shared" si="2"/>
        <v>5072975</v>
      </c>
      <c r="F11" s="1178">
        <f t="shared" si="3"/>
        <v>0.54164173882189448</v>
      </c>
      <c r="G11" s="1178">
        <f>C11/E11</f>
        <v>0.45227031475613422</v>
      </c>
      <c r="H11" s="1180">
        <f t="shared" si="4"/>
        <v>6.0879464219713289E-3</v>
      </c>
      <c r="I11" s="246"/>
      <c r="J11" s="246"/>
      <c r="K11" s="246"/>
      <c r="L11" s="249"/>
      <c r="M11" s="247"/>
      <c r="N11" s="247"/>
      <c r="O11" s="247"/>
      <c r="P11" s="250">
        <f>L11/E11</f>
        <v>0</v>
      </c>
      <c r="Q11" s="61"/>
      <c r="R11" s="61"/>
    </row>
    <row r="12" spans="1:18" ht="25.5" customHeight="1">
      <c r="A12" s="314" t="s">
        <v>565</v>
      </c>
      <c r="B12" s="1174">
        <v>2965326</v>
      </c>
      <c r="C12" s="1174">
        <v>2646899</v>
      </c>
      <c r="D12" s="1175">
        <v>29217</v>
      </c>
      <c r="E12" s="1176">
        <f t="shared" si="2"/>
        <v>5641442</v>
      </c>
      <c r="F12" s="1178">
        <f t="shared" si="3"/>
        <v>0.52563263080609535</v>
      </c>
      <c r="G12" s="1178">
        <f>C12/E12</f>
        <v>0.46918837417809134</v>
      </c>
      <c r="H12" s="1180">
        <f t="shared" si="4"/>
        <v>5.1789950158133329E-3</v>
      </c>
      <c r="I12" s="246"/>
      <c r="J12" s="246"/>
      <c r="K12" s="246"/>
      <c r="L12" s="249"/>
      <c r="M12" s="247"/>
      <c r="N12" s="247"/>
      <c r="O12" s="247"/>
      <c r="P12" s="250"/>
      <c r="Q12" s="61"/>
      <c r="R12" s="61"/>
    </row>
    <row r="13" spans="1:18" ht="25.5" customHeight="1">
      <c r="A13" s="314" t="s">
        <v>582</v>
      </c>
      <c r="B13" s="1174">
        <v>3224947</v>
      </c>
      <c r="C13" s="1174">
        <v>3015646</v>
      </c>
      <c r="D13" s="1175">
        <v>30470</v>
      </c>
      <c r="E13" s="1176">
        <f t="shared" si="2"/>
        <v>6271063</v>
      </c>
      <c r="F13" s="1178">
        <f t="shared" si="3"/>
        <v>0.5142584279571103</v>
      </c>
      <c r="G13" s="1178">
        <f>C13/E13</f>
        <v>0.48088274667309194</v>
      </c>
      <c r="H13" s="1180">
        <f t="shared" si="4"/>
        <v>4.8588253697977521E-3</v>
      </c>
      <c r="I13" s="246"/>
      <c r="J13" s="246"/>
      <c r="K13" s="246"/>
      <c r="L13" s="249"/>
      <c r="M13" s="247"/>
      <c r="N13" s="247"/>
      <c r="O13" s="247"/>
      <c r="P13" s="250"/>
      <c r="Q13" s="61"/>
      <c r="R13" s="61"/>
    </row>
    <row r="14" spans="1:18" ht="25.5" customHeight="1">
      <c r="A14" s="355" t="s">
        <v>947</v>
      </c>
      <c r="B14" s="1181">
        <v>3360006</v>
      </c>
      <c r="C14" s="1181">
        <v>3037548</v>
      </c>
      <c r="D14" s="1182">
        <v>30733</v>
      </c>
      <c r="E14" s="1183">
        <f>B14+C14+D14</f>
        <v>6428287</v>
      </c>
      <c r="F14" s="1184">
        <f t="shared" si="3"/>
        <v>0.52269072616079526</v>
      </c>
      <c r="G14" s="1184">
        <f>C14/E14</f>
        <v>0.47252837342203297</v>
      </c>
      <c r="H14" s="1185">
        <f t="shared" si="4"/>
        <v>4.7809004171717913E-3</v>
      </c>
      <c r="I14" s="246"/>
      <c r="J14" s="246"/>
      <c r="K14" s="246"/>
      <c r="L14" s="249"/>
      <c r="M14" s="247"/>
      <c r="N14" s="247"/>
      <c r="O14" s="247"/>
      <c r="P14" s="250"/>
      <c r="Q14" s="61"/>
      <c r="R14" s="61"/>
    </row>
    <row r="15" spans="1:18" ht="23.25" customHeight="1">
      <c r="A15" s="1838" t="s">
        <v>734</v>
      </c>
      <c r="B15" s="1838"/>
      <c r="C15" s="1838"/>
      <c r="D15" s="1838"/>
      <c r="E15" s="1838"/>
      <c r="F15" s="1838"/>
      <c r="G15" s="1838"/>
      <c r="H15" s="1838"/>
      <c r="I15" s="1838"/>
      <c r="J15" s="1838"/>
      <c r="K15" s="1838"/>
      <c r="L15" s="1838"/>
      <c r="M15" s="1838"/>
      <c r="N15" s="1838"/>
      <c r="O15" s="1838"/>
      <c r="P15" s="1838"/>
      <c r="Q15" s="61"/>
      <c r="R15" s="61"/>
    </row>
    <row r="16" spans="1:18" ht="25.5" customHeight="1">
      <c r="A16" s="31"/>
      <c r="B16" s="31"/>
      <c r="C16" s="31"/>
      <c r="D16" s="31"/>
      <c r="E16" s="31"/>
      <c r="F16" s="31"/>
      <c r="G16" s="31"/>
      <c r="H16" s="31"/>
      <c r="I16" s="31"/>
      <c r="J16" s="31"/>
      <c r="K16" s="31"/>
      <c r="L16" s="31"/>
      <c r="M16" s="31"/>
      <c r="N16" s="31"/>
      <c r="O16" s="31"/>
      <c r="P16" s="31"/>
      <c r="R16" s="61"/>
    </row>
    <row r="17" spans="1:22" ht="25.5" customHeight="1">
      <c r="A17" s="31"/>
      <c r="B17" s="31"/>
      <c r="C17" s="31"/>
      <c r="D17" s="31"/>
      <c r="E17" s="31"/>
      <c r="F17" s="31"/>
      <c r="G17" s="31"/>
      <c r="H17" s="31"/>
      <c r="I17" s="31"/>
      <c r="J17" s="31"/>
      <c r="K17" s="31"/>
      <c r="L17" s="31"/>
      <c r="M17" s="31"/>
      <c r="N17" s="31"/>
      <c r="O17" s="31"/>
      <c r="P17" s="31"/>
      <c r="Q17" s="31"/>
      <c r="R17" s="61"/>
    </row>
    <row r="18" spans="1:22" ht="25.5" customHeight="1">
      <c r="A18" s="31"/>
      <c r="B18" s="31"/>
      <c r="C18" s="31"/>
      <c r="D18" s="31"/>
      <c r="E18" s="31"/>
      <c r="F18" s="31"/>
      <c r="G18" s="31"/>
      <c r="H18" s="31"/>
      <c r="I18" s="31"/>
      <c r="J18" s="31"/>
      <c r="K18" s="31"/>
      <c r="L18" s="31"/>
      <c r="M18" s="31"/>
      <c r="N18" s="31"/>
      <c r="O18" s="31"/>
      <c r="P18" s="31"/>
      <c r="Q18" s="31"/>
      <c r="R18" s="61"/>
      <c r="V18" s="77" t="s">
        <v>33</v>
      </c>
    </row>
    <row r="19" spans="1:22" ht="25.5" customHeight="1">
      <c r="A19" s="31"/>
      <c r="B19" s="31"/>
      <c r="C19" s="31"/>
      <c r="D19" s="31"/>
      <c r="E19" s="31"/>
      <c r="F19" s="31"/>
      <c r="G19" s="31"/>
      <c r="H19" s="31"/>
      <c r="I19" s="31"/>
      <c r="J19" s="31"/>
      <c r="K19" s="31"/>
      <c r="L19" s="31"/>
      <c r="M19" s="31"/>
      <c r="N19" s="31"/>
      <c r="O19" s="31"/>
      <c r="P19" s="31"/>
      <c r="Q19" s="31"/>
      <c r="R19" s="61"/>
    </row>
    <row r="20" spans="1:22" ht="25.5" customHeight="1">
      <c r="A20" s="31"/>
      <c r="B20" s="31"/>
      <c r="C20" s="31"/>
      <c r="D20" s="31"/>
      <c r="E20" s="31"/>
      <c r="F20" s="31"/>
      <c r="G20" s="31"/>
      <c r="H20" s="31"/>
      <c r="I20" s="31"/>
      <c r="J20" s="31"/>
      <c r="K20" s="31"/>
      <c r="L20" s="31"/>
      <c r="M20" s="31"/>
      <c r="N20" s="31"/>
      <c r="O20" s="31"/>
      <c r="P20" s="31"/>
      <c r="Q20" s="31"/>
      <c r="R20" s="61"/>
    </row>
    <row r="21" spans="1:22" ht="25.5" customHeight="1">
      <c r="A21" s="31"/>
      <c r="B21" s="31"/>
      <c r="C21" s="31"/>
      <c r="D21" s="31"/>
      <c r="E21" s="31"/>
      <c r="F21" s="31"/>
      <c r="G21" s="31"/>
      <c r="H21" s="31"/>
      <c r="I21" s="31"/>
      <c r="J21" s="31"/>
      <c r="K21" s="31"/>
      <c r="L21" s="31"/>
      <c r="M21" s="31"/>
      <c r="N21" s="31"/>
      <c r="O21" s="31"/>
      <c r="P21" s="31"/>
      <c r="Q21" s="31"/>
      <c r="R21" s="61"/>
    </row>
    <row r="22" spans="1:22" ht="25.5" customHeight="1">
      <c r="A22" s="31"/>
      <c r="B22" s="31"/>
      <c r="C22" s="31"/>
      <c r="D22" s="31"/>
      <c r="E22" s="31"/>
      <c r="F22" s="31"/>
      <c r="G22" s="31"/>
      <c r="H22" s="31"/>
      <c r="I22" s="31"/>
      <c r="J22" s="31"/>
      <c r="K22" s="31"/>
      <c r="L22" s="31"/>
      <c r="M22" s="31"/>
      <c r="N22" s="31"/>
      <c r="O22" s="31"/>
      <c r="P22" s="31"/>
      <c r="Q22" s="31"/>
      <c r="R22" s="61"/>
    </row>
    <row r="23" spans="1:22" ht="25.5" customHeight="1">
      <c r="A23" s="31"/>
      <c r="B23" s="31"/>
      <c r="C23" s="31"/>
      <c r="D23" s="31"/>
      <c r="E23" s="31"/>
      <c r="F23" s="31"/>
      <c r="G23" s="31"/>
      <c r="H23" s="31"/>
      <c r="I23" s="31"/>
      <c r="J23" s="31"/>
      <c r="K23" s="31"/>
      <c r="L23" s="31"/>
      <c r="M23" s="31"/>
      <c r="N23" s="31"/>
      <c r="O23" s="31"/>
      <c r="P23" s="31"/>
      <c r="Q23" s="31"/>
      <c r="R23" s="61"/>
    </row>
    <row r="24" spans="1:22" ht="25.5" customHeight="1">
      <c r="A24" s="31"/>
      <c r="B24" s="31"/>
      <c r="C24" s="31"/>
      <c r="D24" s="31"/>
      <c r="E24" s="31"/>
      <c r="F24" s="31"/>
      <c r="G24" s="31"/>
      <c r="H24" s="31"/>
      <c r="I24" s="31"/>
      <c r="J24" s="31"/>
      <c r="K24" s="31"/>
      <c r="L24" s="31"/>
      <c r="M24" s="31"/>
      <c r="N24" s="31"/>
      <c r="O24" s="31"/>
      <c r="P24" s="31"/>
      <c r="Q24" s="31"/>
      <c r="R24" s="61"/>
    </row>
    <row r="25" spans="1:22" ht="25.5" customHeight="1">
      <c r="A25" s="31"/>
      <c r="B25" s="31"/>
      <c r="C25" s="31"/>
      <c r="D25" s="31"/>
      <c r="E25" s="31"/>
      <c r="F25" s="31"/>
      <c r="G25" s="31"/>
      <c r="H25" s="31"/>
      <c r="I25" s="31"/>
      <c r="J25" s="31"/>
      <c r="K25" s="31"/>
      <c r="L25" s="31"/>
      <c r="M25" s="31"/>
      <c r="N25" s="31"/>
      <c r="O25" s="31"/>
      <c r="P25" s="31"/>
      <c r="Q25" s="31"/>
      <c r="R25" s="31"/>
    </row>
    <row r="26" spans="1:22" ht="25.5" customHeight="1">
      <c r="A26" s="31"/>
      <c r="B26" s="31"/>
      <c r="C26" s="31"/>
      <c r="D26" s="31"/>
      <c r="E26" s="31"/>
      <c r="F26" s="31"/>
      <c r="G26" s="31"/>
      <c r="H26" s="31"/>
      <c r="I26" s="31"/>
      <c r="J26" s="31"/>
      <c r="K26" s="31"/>
      <c r="L26" s="31"/>
      <c r="M26" s="31"/>
      <c r="N26" s="31"/>
      <c r="O26" s="31"/>
      <c r="P26" s="31"/>
      <c r="Q26" s="31"/>
      <c r="R26" s="31"/>
    </row>
    <row r="27" spans="1:22" ht="25.5" customHeight="1">
      <c r="A27" s="31"/>
      <c r="B27" s="31"/>
      <c r="C27" s="31"/>
      <c r="D27" s="31"/>
      <c r="E27" s="31"/>
      <c r="F27" s="31"/>
      <c r="G27" s="31"/>
      <c r="H27" s="31"/>
      <c r="I27" s="31"/>
      <c r="J27" s="31"/>
      <c r="K27" s="31"/>
      <c r="L27" s="31"/>
      <c r="M27" s="31"/>
      <c r="N27" s="31"/>
      <c r="O27" s="31"/>
      <c r="P27" s="31"/>
      <c r="Q27" s="31"/>
      <c r="R27" s="31"/>
    </row>
    <row r="28" spans="1:22" ht="25.5" customHeight="1">
      <c r="A28" s="31"/>
      <c r="B28" s="31"/>
      <c r="C28" s="31"/>
      <c r="D28" s="31"/>
      <c r="E28" s="31"/>
      <c r="F28" s="31"/>
      <c r="G28" s="31"/>
      <c r="H28" s="31"/>
      <c r="I28" s="31"/>
      <c r="J28" s="31"/>
      <c r="K28" s="31"/>
      <c r="L28" s="31"/>
      <c r="M28" s="31"/>
      <c r="N28" s="31"/>
      <c r="O28" s="31"/>
      <c r="P28" s="31"/>
      <c r="Q28" s="31"/>
      <c r="R28" s="31"/>
    </row>
    <row r="29" spans="1:22" ht="25.5" customHeight="1">
      <c r="A29" s="31"/>
      <c r="B29" s="31"/>
      <c r="C29" s="31"/>
      <c r="D29" s="31"/>
      <c r="E29" s="31"/>
      <c r="F29" s="31"/>
      <c r="G29" s="31"/>
      <c r="H29" s="31"/>
      <c r="I29" s="31"/>
      <c r="J29" s="31"/>
      <c r="K29" s="31"/>
      <c r="L29" s="31"/>
      <c r="M29" s="31"/>
      <c r="N29" s="31"/>
      <c r="O29" s="31"/>
      <c r="P29" s="31"/>
      <c r="Q29" s="31"/>
      <c r="R29" s="31"/>
    </row>
    <row r="30" spans="1:22" ht="25.5" customHeight="1">
      <c r="A30" s="31"/>
      <c r="B30" s="31"/>
      <c r="C30" s="31"/>
      <c r="D30" s="31"/>
      <c r="E30" s="31"/>
      <c r="F30" s="31"/>
      <c r="G30" s="31"/>
      <c r="H30" s="31"/>
      <c r="I30" s="31"/>
      <c r="J30" s="31"/>
      <c r="K30" s="31"/>
      <c r="L30" s="31"/>
      <c r="M30" s="31"/>
      <c r="N30" s="31"/>
      <c r="O30" s="31"/>
      <c r="P30" s="31"/>
      <c r="Q30" s="31"/>
      <c r="R30" s="31"/>
    </row>
    <row r="31" spans="1:22" ht="25.5" customHeight="1">
      <c r="A31" s="31"/>
      <c r="B31" s="31"/>
      <c r="C31" s="31"/>
      <c r="D31" s="31"/>
      <c r="E31" s="31"/>
      <c r="F31" s="31"/>
      <c r="G31" s="31"/>
      <c r="H31" s="31"/>
      <c r="I31" s="31"/>
      <c r="J31" s="31"/>
      <c r="K31" s="31"/>
      <c r="L31" s="31"/>
      <c r="M31" s="31"/>
      <c r="N31" s="31"/>
      <c r="O31" s="31"/>
      <c r="P31" s="31"/>
      <c r="Q31" s="31"/>
      <c r="R31" s="31"/>
    </row>
    <row r="32" spans="1:22" ht="25.5" customHeight="1">
      <c r="A32" s="31"/>
      <c r="B32" s="31"/>
      <c r="C32" s="31"/>
      <c r="D32" s="31"/>
      <c r="E32" s="31"/>
      <c r="F32" s="31"/>
      <c r="G32" s="31"/>
      <c r="H32" s="31"/>
      <c r="I32" s="31"/>
      <c r="J32" s="31"/>
      <c r="K32" s="31"/>
      <c r="L32" s="31"/>
      <c r="M32" s="31"/>
      <c r="N32" s="31"/>
      <c r="O32" s="31"/>
      <c r="P32" s="31"/>
      <c r="Q32" s="31"/>
      <c r="R32" s="31"/>
    </row>
    <row r="33" spans="1:18" ht="25.5" customHeight="1">
      <c r="A33" s="31"/>
      <c r="B33" s="31"/>
      <c r="C33" s="31"/>
      <c r="D33" s="31"/>
      <c r="E33" s="31"/>
      <c r="F33" s="31"/>
      <c r="G33" s="31"/>
      <c r="H33" s="31"/>
      <c r="I33" s="31"/>
      <c r="J33" s="31"/>
      <c r="K33" s="31"/>
      <c r="L33" s="31"/>
      <c r="M33" s="31"/>
      <c r="N33" s="31"/>
      <c r="O33" s="31"/>
      <c r="P33" s="31"/>
      <c r="Q33" s="31"/>
      <c r="R33" s="31"/>
    </row>
    <row r="34" spans="1:18" ht="25.5" customHeight="1">
      <c r="A34" s="31"/>
      <c r="B34" s="31"/>
      <c r="C34" s="31"/>
      <c r="D34" s="31"/>
      <c r="E34" s="31"/>
      <c r="F34" s="31"/>
      <c r="G34" s="31"/>
      <c r="H34" s="31"/>
      <c r="I34" s="31"/>
      <c r="J34" s="31"/>
      <c r="K34" s="31"/>
      <c r="L34" s="31"/>
      <c r="M34" s="31"/>
      <c r="N34" s="31"/>
      <c r="O34" s="31"/>
      <c r="P34" s="31"/>
      <c r="Q34" s="31"/>
      <c r="R34" s="31"/>
    </row>
    <row r="35" spans="1:18" ht="25.5" customHeight="1">
      <c r="A35" s="31"/>
      <c r="B35" s="31"/>
      <c r="C35" s="31"/>
      <c r="D35" s="31"/>
      <c r="E35" s="31"/>
      <c r="F35" s="31"/>
      <c r="G35" s="31"/>
      <c r="H35" s="31"/>
      <c r="I35" s="31"/>
      <c r="J35" s="31"/>
      <c r="K35" s="31"/>
      <c r="L35" s="31"/>
      <c r="M35" s="31"/>
      <c r="N35" s="31"/>
      <c r="O35" s="31"/>
      <c r="P35" s="31"/>
      <c r="Q35" s="31"/>
      <c r="R35" s="31"/>
    </row>
    <row r="36" spans="1:18" ht="25.5" customHeight="1">
      <c r="A36" s="31"/>
      <c r="B36" s="31"/>
      <c r="C36" s="31"/>
      <c r="D36" s="31"/>
      <c r="E36" s="31"/>
      <c r="F36" s="31"/>
      <c r="G36" s="31"/>
      <c r="H36" s="31"/>
      <c r="I36" s="31"/>
      <c r="J36" s="31"/>
      <c r="K36" s="31"/>
      <c r="L36" s="31"/>
      <c r="M36" s="31"/>
      <c r="N36" s="31"/>
      <c r="O36" s="31"/>
      <c r="P36" s="31"/>
      <c r="Q36" s="31"/>
      <c r="R36" s="31"/>
    </row>
    <row r="37" spans="1:18" ht="25.5" customHeight="1">
      <c r="A37" s="31"/>
      <c r="B37" s="31"/>
      <c r="C37" s="31"/>
      <c r="D37" s="31"/>
      <c r="E37" s="31"/>
      <c r="F37" s="31"/>
      <c r="G37" s="31"/>
      <c r="H37" s="31"/>
      <c r="I37" s="31"/>
      <c r="J37" s="31"/>
      <c r="K37" s="31"/>
      <c r="L37" s="31"/>
      <c r="M37" s="31"/>
      <c r="N37" s="31"/>
      <c r="O37" s="31"/>
      <c r="P37" s="31"/>
      <c r="Q37" s="31"/>
      <c r="R37" s="31"/>
    </row>
    <row r="42" spans="1:18" ht="51" customHeight="1"/>
    <row r="43" spans="1:18" ht="78" customHeight="1">
      <c r="A43" s="349"/>
      <c r="B43" s="349"/>
      <c r="C43" s="349"/>
      <c r="D43" s="349"/>
      <c r="E43" s="349"/>
      <c r="F43" s="349"/>
      <c r="G43" s="349"/>
      <c r="H43" s="349"/>
      <c r="I43" s="349"/>
      <c r="J43" s="349"/>
      <c r="K43" s="349"/>
      <c r="L43" s="349"/>
      <c r="M43" s="349"/>
      <c r="N43" s="349"/>
      <c r="O43" s="349"/>
      <c r="P43" s="349"/>
      <c r="Q43" s="349"/>
      <c r="R43" s="349"/>
    </row>
    <row r="49" spans="2:19">
      <c r="S49" s="96"/>
    </row>
    <row r="50" spans="2:19">
      <c r="S50" s="96"/>
    </row>
    <row r="51" spans="2:19">
      <c r="S51" s="96"/>
    </row>
    <row r="52" spans="2:19">
      <c r="S52" s="96"/>
    </row>
    <row r="53" spans="2:19">
      <c r="S53" s="96"/>
    </row>
    <row r="54" spans="2:19">
      <c r="S54" s="96"/>
    </row>
    <row r="55" spans="2:19">
      <c r="B55" s="96"/>
      <c r="C55" s="96"/>
      <c r="D55" s="96"/>
      <c r="E55" s="96"/>
      <c r="F55" s="96"/>
      <c r="G55" s="96"/>
      <c r="H55" s="96"/>
      <c r="I55" s="96"/>
      <c r="J55" s="96"/>
      <c r="K55" s="96"/>
      <c r="L55" s="96"/>
      <c r="M55" s="96"/>
      <c r="N55" s="96"/>
      <c r="O55" s="96"/>
      <c r="P55" s="96"/>
      <c r="Q55" s="96"/>
      <c r="R55" s="96"/>
      <c r="S55" s="96"/>
    </row>
  </sheetData>
  <mergeCells count="2">
    <mergeCell ref="A1:Q1"/>
    <mergeCell ref="A15:P15"/>
  </mergeCells>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D55"/>
  <sheetViews>
    <sheetView showGridLines="0" view="pageBreakPreview" zoomScale="55" zoomScaleNormal="100" zoomScaleSheetLayoutView="55" zoomScalePageLayoutView="62" workbookViewId="0">
      <selection activeCell="K10" sqref="K10"/>
    </sheetView>
  </sheetViews>
  <sheetFormatPr baseColWidth="10" defaultColWidth="11.42578125" defaultRowHeight="28.5"/>
  <cols>
    <col min="1" max="1" width="22" style="77" customWidth="1"/>
    <col min="2" max="7" width="21.5703125" style="77" customWidth="1"/>
    <col min="8" max="8" width="22.140625" style="77" customWidth="1"/>
    <col min="9" max="10" width="21.5703125" style="77" customWidth="1"/>
    <col min="11" max="11" width="13.85546875" style="77" customWidth="1"/>
    <col min="12" max="12" width="12.7109375" style="77" customWidth="1"/>
    <col min="13" max="13" width="19" style="77" customWidth="1"/>
    <col min="14" max="14" width="16.140625" style="77" customWidth="1"/>
    <col min="15" max="15" width="17.7109375" style="77" customWidth="1"/>
    <col min="16" max="16" width="15.28515625" style="77" customWidth="1"/>
    <col min="17" max="17" width="6" style="77" customWidth="1"/>
    <col min="18" max="18" width="18.42578125" style="1354" customWidth="1"/>
    <col min="19" max="19" width="17" style="1354" customWidth="1"/>
    <col min="20" max="20" width="19.140625" style="1354" customWidth="1"/>
    <col min="21" max="21" width="27" style="77" customWidth="1"/>
    <col min="22" max="22" width="14.85546875" style="77" customWidth="1"/>
    <col min="23" max="23" width="14.5703125" style="77" customWidth="1"/>
    <col min="24" max="24" width="24.7109375" style="77" customWidth="1"/>
    <col min="25" max="16384" width="11.42578125" style="77"/>
  </cols>
  <sheetData>
    <row r="1" spans="1:24" ht="87" customHeight="1">
      <c r="A1" s="1837"/>
      <c r="B1" s="1837"/>
      <c r="C1" s="1837"/>
      <c r="D1" s="1837"/>
      <c r="E1" s="1837"/>
      <c r="F1" s="1837"/>
      <c r="G1" s="1837"/>
      <c r="H1" s="1837"/>
      <c r="I1" s="1837"/>
      <c r="J1" s="1837"/>
      <c r="K1" s="1837"/>
      <c r="L1" s="1837"/>
      <c r="M1" s="1837"/>
      <c r="N1" s="1837"/>
      <c r="O1" s="1837"/>
      <c r="P1" s="1837"/>
      <c r="Q1" s="1837"/>
      <c r="R1" s="1837"/>
      <c r="S1" s="1837"/>
      <c r="T1" s="1837"/>
      <c r="U1" s="1837"/>
      <c r="V1" s="1837"/>
    </row>
    <row r="2" spans="1:24" ht="19.5" customHeight="1">
      <c r="A2" s="1035"/>
      <c r="B2" s="1037"/>
      <c r="C2" s="1037"/>
      <c r="D2" s="1037"/>
      <c r="E2" s="1037"/>
      <c r="F2" s="1035"/>
      <c r="G2" s="1035"/>
      <c r="H2" s="1037" t="s">
        <v>706</v>
      </c>
      <c r="I2" s="1035"/>
      <c r="J2" s="1035"/>
      <c r="K2" s="1035"/>
      <c r="L2" s="1035"/>
      <c r="M2" s="1035"/>
      <c r="N2" s="1035"/>
      <c r="O2" s="1035"/>
      <c r="P2" s="1035"/>
      <c r="Q2" s="1340"/>
      <c r="R2" s="1340"/>
      <c r="S2" s="1340"/>
      <c r="T2" s="1340"/>
      <c r="U2" s="1035"/>
    </row>
    <row r="3" spans="1:24" ht="8.25" customHeight="1">
      <c r="A3" s="1078"/>
      <c r="B3" s="1078"/>
      <c r="C3" s="1078"/>
      <c r="D3" s="1078"/>
      <c r="E3" s="1078"/>
      <c r="F3" s="1078"/>
      <c r="G3" s="1078"/>
      <c r="H3" s="1078"/>
      <c r="I3" s="1078"/>
      <c r="J3" s="1078"/>
      <c r="K3" s="1078"/>
      <c r="L3" s="1078"/>
      <c r="M3" s="1078"/>
      <c r="N3" s="1078"/>
      <c r="O3" s="1078"/>
      <c r="P3" s="1078"/>
      <c r="Q3" s="1340"/>
      <c r="R3" s="1340"/>
      <c r="S3" s="1340"/>
      <c r="T3" s="1340"/>
      <c r="U3" s="1078"/>
    </row>
    <row r="4" spans="1:24" s="1824" customFormat="1" ht="33.75" customHeight="1">
      <c r="A4" s="1808"/>
      <c r="B4" s="1840" t="s">
        <v>704</v>
      </c>
      <c r="C4" s="1841"/>
      <c r="D4" s="1840" t="s">
        <v>705</v>
      </c>
      <c r="E4" s="1842"/>
      <c r="F4" s="1843" t="s">
        <v>707</v>
      </c>
      <c r="G4" s="1843"/>
      <c r="H4" s="1843"/>
      <c r="I4" s="1843"/>
      <c r="J4" s="1844"/>
      <c r="K4" s="1808"/>
      <c r="L4" s="1808"/>
      <c r="M4" s="1808"/>
      <c r="N4" s="1808"/>
      <c r="O4" s="1808"/>
      <c r="P4" s="1808"/>
      <c r="Q4" s="1808"/>
      <c r="R4" s="1808"/>
      <c r="S4" s="1808"/>
      <c r="T4" s="1808"/>
      <c r="U4" s="1808"/>
    </row>
    <row r="5" spans="1:24" ht="30.75" customHeight="1">
      <c r="A5" s="366" t="s">
        <v>248</v>
      </c>
      <c r="B5" s="1042" t="s">
        <v>130</v>
      </c>
      <c r="C5" s="311" t="s">
        <v>77</v>
      </c>
      <c r="D5" s="1042" t="s">
        <v>130</v>
      </c>
      <c r="E5" s="312" t="s">
        <v>77</v>
      </c>
      <c r="F5" s="311" t="s">
        <v>130</v>
      </c>
      <c r="G5" s="311" t="s">
        <v>77</v>
      </c>
      <c r="H5" s="313" t="s">
        <v>23</v>
      </c>
      <c r="I5" s="311" t="s">
        <v>763</v>
      </c>
      <c r="J5" s="312" t="s">
        <v>703</v>
      </c>
      <c r="K5" s="1680"/>
      <c r="L5" s="1680"/>
      <c r="M5" s="1680"/>
      <c r="N5" s="1680"/>
      <c r="O5" s="1680"/>
      <c r="R5" s="1352"/>
      <c r="S5" s="1352"/>
      <c r="T5" s="1353"/>
      <c r="U5" s="251"/>
      <c r="V5" s="251"/>
      <c r="W5" s="251"/>
      <c r="X5" s="24"/>
    </row>
    <row r="6" spans="1:24" ht="25.5" customHeight="1">
      <c r="A6" s="1043" t="s">
        <v>30</v>
      </c>
      <c r="B6" s="1810">
        <v>479821</v>
      </c>
      <c r="C6" s="1811">
        <v>602115</v>
      </c>
      <c r="D6" s="1810">
        <v>792515</v>
      </c>
      <c r="E6" s="1812">
        <v>684666</v>
      </c>
      <c r="F6" s="1174">
        <f>+D6+B6</f>
        <v>1272336</v>
      </c>
      <c r="G6" s="1811">
        <v>1286781</v>
      </c>
      <c r="H6" s="1813">
        <f t="shared" ref="H6:H14" si="0">F6+G6</f>
        <v>2559117</v>
      </c>
      <c r="I6" s="1814">
        <f>F6/H6</f>
        <v>0.49717773747741895</v>
      </c>
      <c r="J6" s="1815">
        <f>G6/H6</f>
        <v>0.502822262522581</v>
      </c>
      <c r="K6" s="1680"/>
      <c r="L6" s="1680"/>
      <c r="M6" s="1680"/>
      <c r="N6" s="1680"/>
      <c r="O6" s="1680"/>
      <c r="R6" s="1352"/>
      <c r="S6" s="1356"/>
      <c r="T6" s="1355"/>
      <c r="U6" s="1044"/>
      <c r="V6" s="1041"/>
      <c r="W6" s="249"/>
      <c r="X6" s="24"/>
    </row>
    <row r="7" spans="1:24" ht="25.5" customHeight="1">
      <c r="A7" s="412" t="s">
        <v>31</v>
      </c>
      <c r="B7" s="1816">
        <v>545438</v>
      </c>
      <c r="C7" s="1174">
        <v>679205</v>
      </c>
      <c r="D7" s="1816">
        <v>890402</v>
      </c>
      <c r="E7" s="1175">
        <v>801857</v>
      </c>
      <c r="F7" s="1174">
        <f t="shared" ref="F7:F12" si="1">+D7+B7</f>
        <v>1435840</v>
      </c>
      <c r="G7" s="1174">
        <f t="shared" ref="G7:G14" si="2">+E7+C7</f>
        <v>1481062</v>
      </c>
      <c r="H7" s="1817">
        <f t="shared" si="0"/>
        <v>2916902</v>
      </c>
      <c r="I7" s="1818">
        <f t="shared" ref="I7:I14" si="3">F7/H7</f>
        <v>0.49224828259571285</v>
      </c>
      <c r="J7" s="1819">
        <f t="shared" ref="J7:J13" si="4">G7/H7</f>
        <v>0.50775171740428715</v>
      </c>
      <c r="K7" s="1680"/>
      <c r="L7" s="1680"/>
      <c r="M7" s="1680"/>
      <c r="N7" s="1680"/>
      <c r="O7" s="1680"/>
      <c r="R7" s="1352"/>
      <c r="S7" s="1356"/>
      <c r="T7" s="1355"/>
      <c r="U7" s="1044"/>
      <c r="V7" s="1041"/>
      <c r="W7" s="249"/>
      <c r="X7" s="24"/>
    </row>
    <row r="8" spans="1:24" ht="25.5" customHeight="1">
      <c r="A8" s="412" t="s">
        <v>32</v>
      </c>
      <c r="B8" s="1816">
        <v>615631</v>
      </c>
      <c r="C8" s="1174">
        <v>788594</v>
      </c>
      <c r="D8" s="1816">
        <v>1078877</v>
      </c>
      <c r="E8" s="1175">
        <v>1009422</v>
      </c>
      <c r="F8" s="1174">
        <f t="shared" si="1"/>
        <v>1694508</v>
      </c>
      <c r="G8" s="1174">
        <f t="shared" si="2"/>
        <v>1798016</v>
      </c>
      <c r="H8" s="1817">
        <f t="shared" si="0"/>
        <v>3492524</v>
      </c>
      <c r="I8" s="1818">
        <f t="shared" si="3"/>
        <v>0.48518149052089549</v>
      </c>
      <c r="J8" s="1819">
        <f t="shared" si="4"/>
        <v>0.51481850947910446</v>
      </c>
      <c r="K8" s="1680"/>
      <c r="L8" s="1680"/>
      <c r="M8" s="1680"/>
      <c r="N8" s="1680"/>
      <c r="O8" s="1680"/>
      <c r="R8" s="1352"/>
      <c r="S8" s="1356"/>
      <c r="T8" s="1355"/>
      <c r="U8" s="1044"/>
      <c r="V8" s="1041"/>
      <c r="W8" s="249"/>
      <c r="X8" s="24"/>
    </row>
    <row r="9" spans="1:24" ht="25.5" customHeight="1">
      <c r="A9" s="412" t="s">
        <v>195</v>
      </c>
      <c r="B9" s="1816">
        <v>904636</v>
      </c>
      <c r="C9" s="1174">
        <v>1109150</v>
      </c>
      <c r="D9" s="1816">
        <v>1210182</v>
      </c>
      <c r="E9" s="1175">
        <v>1153901</v>
      </c>
      <c r="F9" s="1174">
        <f t="shared" si="1"/>
        <v>2114818</v>
      </c>
      <c r="G9" s="1174">
        <f t="shared" si="2"/>
        <v>2263051</v>
      </c>
      <c r="H9" s="1817">
        <f t="shared" si="0"/>
        <v>4377869</v>
      </c>
      <c r="I9" s="1818">
        <f t="shared" si="3"/>
        <v>0.48307018780141664</v>
      </c>
      <c r="J9" s="1819">
        <f t="shared" si="4"/>
        <v>0.51692981219858336</v>
      </c>
      <c r="K9" s="1680"/>
      <c r="L9" s="1680"/>
      <c r="M9" s="1680"/>
      <c r="N9" s="1680"/>
      <c r="O9" s="1680"/>
      <c r="R9" s="1352"/>
      <c r="S9" s="1356"/>
      <c r="T9" s="1355"/>
      <c r="U9" s="1044"/>
      <c r="V9" s="1041"/>
      <c r="W9" s="249"/>
      <c r="X9" s="24"/>
    </row>
    <row r="10" spans="1:24" ht="25.5" customHeight="1">
      <c r="A10" s="412" t="s">
        <v>241</v>
      </c>
      <c r="B10" s="1816">
        <v>899174</v>
      </c>
      <c r="C10" s="1174">
        <v>1104253</v>
      </c>
      <c r="D10" s="1816">
        <v>1279458</v>
      </c>
      <c r="E10" s="1175">
        <v>1237965</v>
      </c>
      <c r="F10" s="1174">
        <f t="shared" si="1"/>
        <v>2178632</v>
      </c>
      <c r="G10" s="1174">
        <f t="shared" si="2"/>
        <v>2342218</v>
      </c>
      <c r="H10" s="1817">
        <f t="shared" si="0"/>
        <v>4520850</v>
      </c>
      <c r="I10" s="1818">
        <f t="shared" si="3"/>
        <v>0.48190760587057746</v>
      </c>
      <c r="J10" s="1819">
        <f t="shared" si="4"/>
        <v>0.51809239412942254</v>
      </c>
      <c r="S10" s="1356"/>
      <c r="T10" s="1355"/>
      <c r="U10" s="1044"/>
      <c r="V10" s="1041"/>
      <c r="W10" s="249"/>
      <c r="X10" s="24"/>
    </row>
    <row r="11" spans="1:24" ht="25.5" customHeight="1">
      <c r="A11" s="412" t="s">
        <v>484</v>
      </c>
      <c r="B11" s="1816">
        <v>1031326</v>
      </c>
      <c r="C11" s="1174">
        <v>1272025</v>
      </c>
      <c r="D11" s="1816">
        <v>1360788</v>
      </c>
      <c r="E11" s="1175">
        <v>1327623</v>
      </c>
      <c r="F11" s="1174">
        <f t="shared" si="1"/>
        <v>2392114</v>
      </c>
      <c r="G11" s="1174">
        <f t="shared" si="2"/>
        <v>2599648</v>
      </c>
      <c r="H11" s="1817">
        <f t="shared" si="0"/>
        <v>4991762</v>
      </c>
      <c r="I11" s="1818">
        <f t="shared" si="3"/>
        <v>0.47921235026830206</v>
      </c>
      <c r="J11" s="1819">
        <f t="shared" si="4"/>
        <v>0.520787649731698</v>
      </c>
      <c r="L11" s="77" t="s">
        <v>33</v>
      </c>
      <c r="R11" s="1352"/>
      <c r="S11" s="1356"/>
      <c r="T11" s="1355"/>
      <c r="U11" s="1044"/>
      <c r="V11" s="1041"/>
      <c r="W11" s="249"/>
      <c r="X11" s="24"/>
    </row>
    <row r="12" spans="1:24" ht="25.5" customHeight="1">
      <c r="A12" s="412" t="s">
        <v>565</v>
      </c>
      <c r="B12" s="1816">
        <v>1243431</v>
      </c>
      <c r="C12" s="1174">
        <v>1508322</v>
      </c>
      <c r="D12" s="1816">
        <v>1462398</v>
      </c>
      <c r="E12" s="1175">
        <v>1438578</v>
      </c>
      <c r="F12" s="1174">
        <f t="shared" si="1"/>
        <v>2705829</v>
      </c>
      <c r="G12" s="1174">
        <f t="shared" si="2"/>
        <v>2946900</v>
      </c>
      <c r="H12" s="1817">
        <f t="shared" si="0"/>
        <v>5652729</v>
      </c>
      <c r="I12" s="1818">
        <f t="shared" si="3"/>
        <v>0.47867658258515489</v>
      </c>
      <c r="J12" s="1819">
        <f t="shared" si="4"/>
        <v>0.52132341741484511</v>
      </c>
      <c r="R12" s="1352"/>
      <c r="S12" s="1356"/>
      <c r="T12" s="1355"/>
      <c r="U12" s="1044"/>
      <c r="V12" s="1041"/>
      <c r="W12" s="249"/>
      <c r="X12" s="24"/>
    </row>
    <row r="13" spans="1:24" ht="25.5" customHeight="1">
      <c r="A13" s="412" t="s">
        <v>582</v>
      </c>
      <c r="B13" s="1816">
        <v>1400518</v>
      </c>
      <c r="C13" s="1174">
        <v>1615128</v>
      </c>
      <c r="D13" s="1816">
        <v>1578325</v>
      </c>
      <c r="E13" s="1175">
        <v>1563274</v>
      </c>
      <c r="F13" s="1174">
        <f>+D13+B13</f>
        <v>2978843</v>
      </c>
      <c r="G13" s="1174">
        <f t="shared" si="2"/>
        <v>3178402</v>
      </c>
      <c r="H13" s="1817">
        <f t="shared" si="0"/>
        <v>6157245</v>
      </c>
      <c r="I13" s="1818">
        <f t="shared" si="3"/>
        <v>0.48379478159469047</v>
      </c>
      <c r="J13" s="1819">
        <f t="shared" si="4"/>
        <v>0.51620521840530953</v>
      </c>
      <c r="R13" s="1352"/>
      <c r="S13" s="1352"/>
      <c r="T13" s="1355"/>
      <c r="U13" s="1044"/>
      <c r="V13" s="1041"/>
      <c r="W13" s="249"/>
      <c r="X13" s="24"/>
    </row>
    <row r="14" spans="1:24" ht="25.5" customHeight="1">
      <c r="A14" s="1170" t="s">
        <v>948</v>
      </c>
      <c r="B14" s="1820">
        <v>1417170</v>
      </c>
      <c r="C14" s="1181">
        <v>1626183</v>
      </c>
      <c r="D14" s="1820">
        <v>1649081</v>
      </c>
      <c r="E14" s="1182">
        <v>1635900</v>
      </c>
      <c r="F14" s="1181">
        <f>+B14+D14</f>
        <v>3066251</v>
      </c>
      <c r="G14" s="1181">
        <f t="shared" si="2"/>
        <v>3262083</v>
      </c>
      <c r="H14" s="1821">
        <f t="shared" si="0"/>
        <v>6328334</v>
      </c>
      <c r="I14" s="1822">
        <f t="shared" si="3"/>
        <v>0.48452736533817592</v>
      </c>
      <c r="J14" s="1823">
        <f>G14/H14</f>
        <v>0.51547263466182414</v>
      </c>
      <c r="S14" s="1356"/>
      <c r="T14" s="1355"/>
      <c r="U14" s="1044"/>
      <c r="V14" s="1041"/>
      <c r="W14" s="249"/>
      <c r="X14" s="31"/>
    </row>
    <row r="15" spans="1:24" ht="42.75" customHeight="1">
      <c r="A15" s="1839" t="s">
        <v>762</v>
      </c>
      <c r="B15" s="1839"/>
      <c r="C15" s="1839"/>
      <c r="D15" s="1839"/>
      <c r="E15" s="1839"/>
      <c r="F15" s="1839"/>
      <c r="G15" s="1839"/>
      <c r="H15" s="1839"/>
      <c r="I15" s="1839"/>
      <c r="J15" s="1839"/>
      <c r="K15" s="1038"/>
      <c r="L15" s="1038"/>
      <c r="M15" s="1038"/>
      <c r="N15" s="1038"/>
      <c r="O15" s="1038"/>
      <c r="P15" s="1038"/>
      <c r="Q15" s="1038"/>
      <c r="S15" s="1356"/>
      <c r="T15" s="1357"/>
      <c r="U15" s="1038"/>
      <c r="V15" s="61"/>
      <c r="W15" s="61"/>
      <c r="X15" s="31"/>
    </row>
    <row r="16" spans="1:24" ht="25.5" customHeight="1">
      <c r="A16" s="31"/>
      <c r="B16" s="31"/>
      <c r="C16" s="31"/>
      <c r="D16" s="31"/>
      <c r="E16" s="31"/>
      <c r="F16" s="31"/>
      <c r="G16" s="31"/>
      <c r="H16" s="31"/>
      <c r="I16" s="31"/>
      <c r="J16" s="31"/>
      <c r="K16" s="31"/>
      <c r="L16" s="31"/>
      <c r="M16" s="31"/>
      <c r="N16" s="31"/>
      <c r="O16" s="31"/>
      <c r="P16" s="31"/>
      <c r="Q16" s="31"/>
      <c r="R16" s="1352"/>
      <c r="S16" s="1356"/>
      <c r="T16" s="1358"/>
      <c r="U16" s="31"/>
      <c r="W16" s="61"/>
      <c r="X16" s="31"/>
    </row>
    <row r="17" spans="1:30" ht="25.5" customHeight="1">
      <c r="A17" s="31"/>
      <c r="B17" s="31"/>
      <c r="C17" s="31"/>
      <c r="D17" s="31"/>
      <c r="E17" s="31"/>
      <c r="F17" s="31"/>
      <c r="G17" s="31"/>
      <c r="H17" s="31"/>
      <c r="I17" s="31"/>
      <c r="J17" s="31"/>
      <c r="K17" s="31"/>
      <c r="L17" s="31"/>
      <c r="M17" s="31"/>
      <c r="N17" s="31"/>
      <c r="O17" s="31"/>
      <c r="P17" s="31"/>
      <c r="Q17" s="31"/>
      <c r="R17" s="1352"/>
      <c r="S17" s="1356"/>
      <c r="T17" s="1358"/>
      <c r="U17" s="31"/>
      <c r="V17" s="31"/>
      <c r="W17" s="61"/>
      <c r="X17" s="31"/>
    </row>
    <row r="18" spans="1:30" ht="25.5" customHeight="1">
      <c r="A18" s="31"/>
      <c r="B18" s="31"/>
      <c r="C18" s="31"/>
      <c r="D18" s="31"/>
      <c r="E18" s="31"/>
      <c r="F18" s="31"/>
      <c r="G18" s="31"/>
      <c r="H18" s="31"/>
      <c r="I18" s="31"/>
      <c r="J18" s="31"/>
      <c r="K18" s="31"/>
      <c r="L18" s="31"/>
      <c r="M18" s="31"/>
      <c r="N18" s="31"/>
      <c r="O18" s="31"/>
      <c r="P18" s="31"/>
      <c r="Q18" s="31"/>
      <c r="R18" s="1352"/>
      <c r="S18" s="1352"/>
      <c r="T18" s="1358"/>
      <c r="U18" s="31"/>
      <c r="V18" s="31"/>
      <c r="W18" s="61"/>
      <c r="X18" s="31"/>
      <c r="AD18" s="77" t="s">
        <v>33</v>
      </c>
    </row>
    <row r="19" spans="1:30" ht="25.5" customHeight="1">
      <c r="A19" s="31"/>
      <c r="B19" s="31"/>
      <c r="C19" s="31"/>
      <c r="D19" s="31"/>
      <c r="E19" s="31"/>
      <c r="F19" s="31"/>
      <c r="G19" s="31"/>
      <c r="H19" s="31"/>
      <c r="I19" s="31"/>
      <c r="J19" s="31"/>
      <c r="K19" s="31"/>
      <c r="L19" s="31"/>
      <c r="M19" s="31"/>
      <c r="N19" s="31"/>
      <c r="O19" s="31"/>
      <c r="P19" s="31"/>
      <c r="Q19" s="31"/>
      <c r="R19" s="1358"/>
      <c r="S19" s="1358"/>
      <c r="T19" s="1358"/>
      <c r="U19" s="31"/>
      <c r="V19" s="31"/>
      <c r="W19" s="61"/>
      <c r="X19" s="31"/>
    </row>
    <row r="20" spans="1:30" ht="25.5" customHeight="1">
      <c r="A20" s="31"/>
      <c r="B20" s="31"/>
      <c r="C20" s="31"/>
      <c r="D20" s="31"/>
      <c r="E20" s="31"/>
      <c r="F20" s="31"/>
      <c r="G20" s="31"/>
      <c r="H20" s="31"/>
      <c r="I20" s="31"/>
      <c r="J20" s="31"/>
      <c r="K20" s="31"/>
      <c r="L20" s="31"/>
      <c r="M20" s="31"/>
      <c r="N20" s="31"/>
      <c r="O20" s="31"/>
      <c r="P20" s="31"/>
      <c r="Q20" s="31"/>
      <c r="R20" s="1358"/>
      <c r="S20" s="1358"/>
      <c r="T20" s="1358"/>
      <c r="U20" s="31"/>
      <c r="V20" s="31"/>
      <c r="W20" s="61"/>
      <c r="X20" s="31"/>
    </row>
    <row r="21" spans="1:30" ht="25.5" customHeight="1">
      <c r="A21" s="31"/>
      <c r="B21" s="31"/>
      <c r="C21" s="31"/>
      <c r="D21" s="31"/>
      <c r="E21" s="31"/>
      <c r="F21" s="31"/>
      <c r="G21" s="31"/>
      <c r="H21" s="31"/>
      <c r="I21" s="31"/>
      <c r="J21" s="31"/>
      <c r="K21" s="31"/>
      <c r="L21" s="31"/>
      <c r="M21" s="31"/>
      <c r="N21" s="31"/>
      <c r="O21" s="31"/>
      <c r="P21" s="31"/>
      <c r="Q21" s="31"/>
      <c r="R21" s="1358"/>
      <c r="S21" s="1358"/>
      <c r="T21" s="1358"/>
      <c r="U21" s="31"/>
      <c r="V21" s="31"/>
      <c r="W21" s="61"/>
      <c r="X21" s="31"/>
    </row>
    <row r="22" spans="1:30" ht="25.5" customHeight="1">
      <c r="A22" s="31"/>
      <c r="B22" s="31"/>
      <c r="C22" s="31"/>
      <c r="D22" s="31"/>
      <c r="E22" s="31"/>
      <c r="F22" s="31"/>
      <c r="G22" s="31"/>
      <c r="H22" s="31"/>
      <c r="I22" s="31"/>
      <c r="J22" s="31"/>
      <c r="K22" s="31"/>
      <c r="L22" s="31"/>
      <c r="M22" s="31"/>
      <c r="N22" s="31"/>
      <c r="O22" s="31"/>
      <c r="P22" s="31"/>
      <c r="Q22" s="31"/>
      <c r="R22" s="1358"/>
      <c r="S22" s="1358"/>
      <c r="T22" s="1358"/>
      <c r="U22" s="31"/>
      <c r="V22" s="31"/>
      <c r="W22" s="61"/>
      <c r="X22" s="31"/>
    </row>
    <row r="23" spans="1:30" ht="25.5" customHeight="1">
      <c r="A23" s="31"/>
      <c r="B23" s="31"/>
      <c r="C23" s="31"/>
      <c r="D23" s="31"/>
      <c r="E23" s="31"/>
      <c r="F23" s="31"/>
      <c r="G23" s="31"/>
      <c r="H23" s="31"/>
      <c r="I23" s="31"/>
      <c r="J23" s="31"/>
      <c r="K23" s="31"/>
      <c r="L23" s="31"/>
      <c r="M23" s="31"/>
      <c r="N23" s="31"/>
      <c r="O23" s="31"/>
      <c r="P23" s="31"/>
      <c r="Q23" s="31"/>
      <c r="R23" s="1358"/>
      <c r="S23" s="1358"/>
      <c r="T23" s="1358"/>
      <c r="U23" s="31"/>
      <c r="V23" s="31"/>
      <c r="W23" s="61"/>
      <c r="X23" s="31"/>
    </row>
    <row r="24" spans="1:30" ht="25.5" customHeight="1">
      <c r="A24" s="31"/>
      <c r="B24" s="31"/>
      <c r="C24" s="31"/>
      <c r="D24" s="31"/>
      <c r="E24" s="31"/>
      <c r="F24" s="31"/>
      <c r="G24" s="31"/>
      <c r="H24" s="31"/>
      <c r="I24" s="31"/>
      <c r="J24" s="31"/>
      <c r="K24" s="31"/>
      <c r="L24" s="31"/>
      <c r="M24" s="31"/>
      <c r="N24" s="31"/>
      <c r="O24" s="31"/>
      <c r="P24" s="31"/>
      <c r="Q24" s="31"/>
      <c r="R24" s="1358"/>
      <c r="S24" s="1358"/>
      <c r="T24" s="1358"/>
      <c r="U24" s="31"/>
      <c r="V24" s="31"/>
      <c r="W24" s="61"/>
      <c r="X24" s="31"/>
    </row>
    <row r="25" spans="1:30" ht="25.5" customHeight="1">
      <c r="A25" s="31"/>
      <c r="B25" s="31"/>
      <c r="C25" s="31"/>
      <c r="D25" s="31"/>
      <c r="E25" s="31"/>
      <c r="F25" s="31"/>
      <c r="G25" s="31"/>
      <c r="H25" s="31"/>
      <c r="I25" s="31"/>
      <c r="J25" s="31"/>
      <c r="K25" s="31"/>
      <c r="L25" s="31"/>
      <c r="M25" s="31"/>
      <c r="N25" s="31"/>
      <c r="O25" s="31"/>
      <c r="P25" s="31"/>
      <c r="Q25" s="31"/>
      <c r="R25" s="1358"/>
      <c r="S25" s="1358"/>
      <c r="T25" s="1358"/>
      <c r="U25" s="31"/>
      <c r="V25" s="31"/>
      <c r="W25" s="31"/>
      <c r="X25" s="31"/>
    </row>
    <row r="26" spans="1:30" ht="25.5" customHeight="1">
      <c r="A26" s="31"/>
      <c r="B26" s="31"/>
      <c r="C26" s="31"/>
      <c r="D26" s="31"/>
      <c r="E26" s="31"/>
      <c r="F26" s="31"/>
      <c r="G26" s="31"/>
      <c r="H26" s="31"/>
      <c r="I26" s="31"/>
      <c r="J26" s="31"/>
      <c r="K26" s="31"/>
      <c r="L26" s="31"/>
      <c r="M26" s="31"/>
      <c r="N26" s="31"/>
      <c r="O26" s="31"/>
      <c r="P26" s="31"/>
      <c r="Q26" s="31"/>
      <c r="R26" s="1358"/>
      <c r="S26" s="1358"/>
      <c r="T26" s="1358"/>
      <c r="U26" s="31"/>
      <c r="V26" s="31"/>
      <c r="W26" s="31"/>
      <c r="X26" s="31"/>
    </row>
    <row r="27" spans="1:30" ht="25.5" customHeight="1">
      <c r="A27" s="31"/>
      <c r="B27" s="31"/>
      <c r="C27" s="31"/>
      <c r="D27" s="31"/>
      <c r="E27" s="31"/>
      <c r="F27" s="31"/>
      <c r="G27" s="31"/>
      <c r="H27" s="31"/>
      <c r="I27" s="31"/>
      <c r="J27" s="31"/>
      <c r="K27" s="31"/>
      <c r="L27" s="31"/>
      <c r="M27" s="31"/>
      <c r="N27" s="31"/>
      <c r="O27" s="31"/>
      <c r="P27" s="31"/>
      <c r="Q27" s="31"/>
      <c r="R27" s="1358"/>
      <c r="S27" s="1358"/>
      <c r="T27" s="1358"/>
      <c r="U27" s="31"/>
      <c r="V27" s="31"/>
      <c r="W27" s="31"/>
      <c r="X27" s="31"/>
    </row>
    <row r="28" spans="1:30" ht="25.5" customHeight="1">
      <c r="A28" s="31"/>
      <c r="B28" s="31"/>
      <c r="C28" s="31"/>
      <c r="D28" s="31"/>
      <c r="E28" s="31"/>
      <c r="F28" s="31"/>
      <c r="G28" s="31"/>
      <c r="H28" s="31"/>
      <c r="I28" s="31"/>
      <c r="J28" s="31"/>
      <c r="K28" s="31"/>
      <c r="L28" s="31"/>
      <c r="M28" s="31"/>
      <c r="N28" s="31"/>
      <c r="O28" s="31"/>
      <c r="P28" s="31"/>
      <c r="Q28" s="31"/>
      <c r="R28" s="1358"/>
      <c r="S28" s="1358"/>
      <c r="T28" s="1358"/>
      <c r="U28" s="31"/>
      <c r="V28" s="31"/>
      <c r="W28" s="31"/>
      <c r="X28" s="31"/>
    </row>
    <row r="29" spans="1:30" ht="25.5" customHeight="1">
      <c r="A29" s="31"/>
      <c r="B29" s="31"/>
      <c r="C29" s="31"/>
      <c r="D29" s="31"/>
      <c r="E29" s="31"/>
      <c r="F29" s="31"/>
      <c r="G29" s="31"/>
      <c r="H29" s="31"/>
      <c r="I29" s="31"/>
      <c r="J29" s="31"/>
      <c r="K29" s="31"/>
      <c r="L29" s="31"/>
      <c r="M29" s="31"/>
      <c r="N29" s="31"/>
      <c r="O29" s="31"/>
      <c r="P29" s="31"/>
      <c r="Q29" s="31"/>
      <c r="R29" s="1358"/>
      <c r="S29" s="1358"/>
      <c r="T29" s="1358"/>
      <c r="U29" s="31"/>
      <c r="V29" s="31"/>
      <c r="W29" s="31"/>
      <c r="X29" s="31"/>
    </row>
    <row r="30" spans="1:30" ht="25.5" customHeight="1">
      <c r="A30" s="31"/>
      <c r="B30" s="31"/>
      <c r="C30" s="31"/>
      <c r="D30" s="31"/>
      <c r="E30" s="31"/>
      <c r="F30" s="31"/>
      <c r="G30" s="31"/>
      <c r="H30" s="31"/>
      <c r="I30" s="31"/>
      <c r="J30" s="31"/>
      <c r="K30" s="31"/>
      <c r="L30" s="31"/>
      <c r="M30" s="31"/>
      <c r="N30" s="31"/>
      <c r="O30" s="31"/>
      <c r="P30" s="31"/>
      <c r="Q30" s="31"/>
      <c r="R30" s="1358"/>
      <c r="S30" s="1358"/>
      <c r="T30" s="1358"/>
      <c r="U30" s="31"/>
      <c r="V30" s="31"/>
      <c r="W30" s="31"/>
      <c r="X30" s="31"/>
    </row>
    <row r="31" spans="1:30" ht="25.5" customHeight="1">
      <c r="A31" s="31"/>
      <c r="B31" s="31"/>
      <c r="C31" s="31"/>
      <c r="D31" s="31"/>
      <c r="E31" s="31"/>
      <c r="F31" s="31"/>
      <c r="G31" s="31"/>
      <c r="H31" s="31"/>
      <c r="I31" s="31"/>
      <c r="J31" s="31"/>
      <c r="K31" s="31"/>
      <c r="L31" s="31"/>
      <c r="M31" s="31"/>
      <c r="N31" s="31"/>
      <c r="O31" s="31"/>
      <c r="P31" s="31"/>
      <c r="Q31" s="31"/>
      <c r="R31" s="1358"/>
      <c r="S31" s="1358"/>
      <c r="T31" s="1358"/>
      <c r="U31" s="31"/>
      <c r="V31" s="31"/>
      <c r="W31" s="31"/>
      <c r="X31" s="31"/>
    </row>
    <row r="32" spans="1:30" ht="25.5" customHeight="1">
      <c r="A32" s="31"/>
      <c r="B32" s="31"/>
      <c r="C32" s="31"/>
      <c r="D32" s="31"/>
      <c r="E32" s="31"/>
      <c r="F32" s="31"/>
      <c r="G32" s="31"/>
      <c r="H32" s="31"/>
      <c r="I32" s="31"/>
      <c r="J32" s="31"/>
      <c r="K32" s="31"/>
      <c r="L32" s="31"/>
      <c r="M32" s="31"/>
      <c r="N32" s="31"/>
      <c r="O32" s="31"/>
      <c r="P32" s="31"/>
      <c r="Q32" s="31"/>
      <c r="R32" s="1358"/>
      <c r="S32" s="1358"/>
      <c r="T32" s="1358"/>
      <c r="U32" s="31"/>
      <c r="V32" s="31"/>
      <c r="W32" s="31"/>
      <c r="X32" s="31"/>
    </row>
    <row r="33" spans="1:25" ht="25.5" customHeight="1">
      <c r="A33" s="31"/>
      <c r="B33" s="31"/>
      <c r="C33" s="31"/>
      <c r="D33" s="31"/>
      <c r="E33" s="31"/>
      <c r="F33" s="31"/>
      <c r="G33" s="31"/>
      <c r="H33" s="31"/>
      <c r="I33" s="31"/>
      <c r="J33" s="31"/>
      <c r="K33" s="31"/>
      <c r="L33" s="31"/>
      <c r="M33" s="31"/>
      <c r="N33" s="31"/>
      <c r="O33" s="31"/>
      <c r="P33" s="31"/>
      <c r="Q33" s="31"/>
      <c r="R33" s="1358"/>
      <c r="S33" s="1358"/>
      <c r="T33" s="1358"/>
      <c r="U33" s="31"/>
      <c r="V33" s="31"/>
      <c r="W33" s="31"/>
      <c r="X33" s="31"/>
    </row>
    <row r="34" spans="1:25" ht="25.5" customHeight="1">
      <c r="A34" s="31"/>
      <c r="B34" s="31"/>
      <c r="C34" s="31"/>
      <c r="D34" s="31"/>
      <c r="E34" s="31"/>
      <c r="F34" s="31"/>
      <c r="G34" s="31"/>
      <c r="H34" s="31"/>
      <c r="I34" s="31"/>
      <c r="J34" s="31"/>
      <c r="K34" s="31"/>
      <c r="L34" s="31"/>
      <c r="M34" s="31"/>
      <c r="N34" s="31"/>
      <c r="O34" s="31"/>
      <c r="P34" s="31"/>
      <c r="Q34" s="31"/>
      <c r="R34" s="1358"/>
      <c r="S34" s="1358"/>
      <c r="T34" s="1358"/>
      <c r="U34" s="31"/>
      <c r="V34" s="31"/>
      <c r="W34" s="31"/>
      <c r="X34" s="31"/>
    </row>
    <row r="35" spans="1:25" ht="25.5" customHeight="1">
      <c r="A35" s="31"/>
      <c r="B35" s="31"/>
      <c r="C35" s="31"/>
      <c r="D35" s="31"/>
      <c r="E35" s="31"/>
      <c r="F35" s="31"/>
      <c r="G35" s="31"/>
      <c r="H35" s="31"/>
      <c r="I35" s="31"/>
      <c r="J35" s="31"/>
      <c r="K35" s="31"/>
      <c r="L35" s="31"/>
      <c r="M35" s="31"/>
      <c r="N35" s="31"/>
      <c r="O35" s="31"/>
      <c r="P35" s="31"/>
      <c r="Q35" s="31"/>
      <c r="R35" s="1358"/>
      <c r="S35" s="1358"/>
      <c r="T35" s="1358"/>
      <c r="U35" s="31"/>
      <c r="V35" s="31"/>
      <c r="W35" s="31"/>
      <c r="X35" s="95"/>
    </row>
    <row r="36" spans="1:25" ht="25.5" customHeight="1">
      <c r="A36" s="31"/>
      <c r="B36" s="31"/>
      <c r="C36" s="31"/>
      <c r="D36" s="31"/>
      <c r="E36" s="31"/>
      <c r="F36" s="31"/>
      <c r="G36" s="31"/>
      <c r="H36" s="31"/>
      <c r="I36" s="31"/>
      <c r="J36" s="31"/>
      <c r="K36" s="31"/>
      <c r="L36" s="31"/>
      <c r="M36" s="31"/>
      <c r="N36" s="31"/>
      <c r="O36" s="31"/>
      <c r="P36" s="31"/>
      <c r="Q36" s="31"/>
      <c r="R36" s="1358"/>
      <c r="S36" s="1358"/>
      <c r="T36" s="1358"/>
      <c r="U36" s="31"/>
      <c r="V36" s="31"/>
      <c r="W36" s="31"/>
      <c r="X36" s="95"/>
    </row>
    <row r="37" spans="1:25" ht="25.5" customHeight="1">
      <c r="A37" s="31"/>
      <c r="B37" s="31"/>
      <c r="C37" s="31"/>
      <c r="D37" s="31"/>
      <c r="E37" s="31"/>
      <c r="F37" s="31"/>
      <c r="G37" s="31"/>
      <c r="H37" s="31"/>
      <c r="I37" s="31"/>
      <c r="J37" s="31"/>
      <c r="K37" s="31"/>
      <c r="L37" s="31"/>
      <c r="M37" s="31"/>
      <c r="N37" s="31"/>
      <c r="O37" s="31"/>
      <c r="P37" s="31"/>
      <c r="Q37" s="31"/>
      <c r="R37" s="1358"/>
      <c r="S37" s="1358"/>
      <c r="T37" s="1358"/>
      <c r="U37" s="31"/>
      <c r="V37" s="31"/>
      <c r="W37" s="31"/>
      <c r="X37" s="95"/>
    </row>
    <row r="38" spans="1:25">
      <c r="X38" s="95"/>
      <c r="Y38" s="96"/>
    </row>
    <row r="39" spans="1:25">
      <c r="X39" s="95"/>
      <c r="Y39" s="96"/>
    </row>
    <row r="40" spans="1:25">
      <c r="X40" s="1034"/>
      <c r="Y40" s="96"/>
    </row>
    <row r="41" spans="1:25">
      <c r="X41" s="96"/>
      <c r="Y41" s="96"/>
    </row>
    <row r="42" spans="1:25" ht="51" customHeight="1">
      <c r="X42" s="96"/>
      <c r="Y42" s="96"/>
    </row>
    <row r="43" spans="1:25" ht="78" customHeight="1">
      <c r="A43" s="1034"/>
      <c r="B43" s="1036"/>
      <c r="C43" s="1036"/>
      <c r="D43" s="1036"/>
      <c r="E43" s="1036"/>
      <c r="F43" s="1034"/>
      <c r="G43" s="1034"/>
      <c r="H43" s="1034"/>
      <c r="I43" s="1034"/>
      <c r="J43" s="1034"/>
      <c r="K43" s="1034"/>
      <c r="L43" s="1034"/>
      <c r="M43" s="1034"/>
      <c r="N43" s="1034"/>
      <c r="O43" s="1034"/>
      <c r="P43" s="1034"/>
      <c r="Q43" s="1339"/>
      <c r="R43" s="1359"/>
      <c r="S43" s="1359"/>
      <c r="T43" s="1359"/>
      <c r="U43" s="1034"/>
      <c r="V43" s="1034"/>
      <c r="W43" s="1034"/>
      <c r="X43" s="96"/>
      <c r="Y43" s="96"/>
    </row>
    <row r="44" spans="1:25">
      <c r="X44" s="96"/>
    </row>
    <row r="45" spans="1:25">
      <c r="X45" s="96"/>
    </row>
    <row r="46" spans="1:25">
      <c r="X46" s="96"/>
    </row>
    <row r="47" spans="1:25">
      <c r="X47" s="96"/>
    </row>
    <row r="48" spans="1:25">
      <c r="X48" s="96"/>
    </row>
    <row r="49" spans="6:27">
      <c r="X49" s="96"/>
      <c r="Y49" s="96"/>
      <c r="Z49" s="96"/>
      <c r="AA49" s="96"/>
    </row>
    <row r="50" spans="6:27">
      <c r="X50" s="96"/>
      <c r="Y50" s="96"/>
      <c r="Z50" s="96"/>
      <c r="AA50" s="96"/>
    </row>
    <row r="51" spans="6:27">
      <c r="X51" s="96"/>
      <c r="Y51" s="96"/>
      <c r="Z51" s="96"/>
      <c r="AA51" s="96"/>
    </row>
    <row r="52" spans="6:27">
      <c r="X52" s="96"/>
      <c r="Y52" s="96"/>
      <c r="Z52" s="96"/>
      <c r="AA52" s="96"/>
    </row>
    <row r="53" spans="6:27">
      <c r="Y53" s="96"/>
      <c r="Z53" s="96"/>
      <c r="AA53" s="96"/>
    </row>
    <row r="54" spans="6:27">
      <c r="Y54" s="96"/>
      <c r="Z54" s="96"/>
      <c r="AA54" s="96"/>
    </row>
    <row r="55" spans="6:27">
      <c r="F55" s="96"/>
      <c r="G55" s="96"/>
      <c r="H55" s="96"/>
      <c r="I55" s="96"/>
      <c r="J55" s="96"/>
      <c r="K55" s="96"/>
      <c r="L55" s="96"/>
      <c r="M55" s="96"/>
      <c r="N55" s="96"/>
      <c r="O55" s="96"/>
      <c r="P55" s="96"/>
      <c r="Q55" s="96"/>
      <c r="R55" s="1360"/>
      <c r="S55" s="1360"/>
      <c r="T55" s="1360"/>
      <c r="U55" s="96"/>
      <c r="V55" s="96"/>
      <c r="W55" s="96"/>
      <c r="Y55" s="96"/>
      <c r="Z55" s="96"/>
      <c r="AA55" s="96"/>
    </row>
  </sheetData>
  <mergeCells count="5">
    <mergeCell ref="A1:V1"/>
    <mergeCell ref="A15:J15"/>
    <mergeCell ref="B4:C4"/>
    <mergeCell ref="D4:E4"/>
    <mergeCell ref="F4:J4"/>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57"/>
  <sheetViews>
    <sheetView showGridLines="0" view="pageBreakPreview" zoomScale="55" zoomScaleNormal="40" zoomScaleSheetLayoutView="55" workbookViewId="0">
      <pane ySplit="1" topLeftCell="A2" activePane="bottomLeft" state="frozen"/>
      <selection activeCell="M22" sqref="M22"/>
      <selection pane="bottomLeft" activeCell="K10" sqref="K10"/>
    </sheetView>
  </sheetViews>
  <sheetFormatPr baseColWidth="10" defaultColWidth="11.5703125" defaultRowHeight="15"/>
  <cols>
    <col min="1" max="1" width="22.28515625" style="77" customWidth="1"/>
    <col min="2" max="2" width="20.85546875" style="77" customWidth="1"/>
    <col min="3" max="3" width="19.42578125" style="77" customWidth="1"/>
    <col min="4" max="4" width="20" style="77" customWidth="1"/>
    <col min="5" max="5" width="15.28515625" style="77" bestFit="1" customWidth="1"/>
    <col min="6" max="6" width="17.42578125" style="77" bestFit="1" customWidth="1"/>
    <col min="7" max="7" width="13.85546875" style="77" customWidth="1"/>
    <col min="8" max="8" width="18.85546875" style="77" bestFit="1" customWidth="1"/>
    <col min="9" max="9" width="13.85546875" style="77" customWidth="1"/>
    <col min="10" max="10" width="14.140625" style="77" customWidth="1"/>
    <col min="11" max="11" width="12.140625" style="77" customWidth="1"/>
    <col min="12" max="12" width="39.28515625" style="77" customWidth="1"/>
    <col min="13" max="13" width="15.42578125" style="77" bestFit="1" customWidth="1"/>
    <col min="14" max="15" width="11.5703125" style="77"/>
    <col min="16" max="16" width="17.5703125" style="77" customWidth="1"/>
    <col min="17" max="17" width="11.5703125" style="77"/>
    <col min="18" max="18" width="14.42578125" style="77" customWidth="1"/>
    <col min="19" max="20" width="14.7109375" style="77" bestFit="1" customWidth="1"/>
    <col min="21" max="21" width="13.7109375" style="77" bestFit="1" customWidth="1"/>
    <col min="22" max="16384" width="11.5703125" style="77"/>
  </cols>
  <sheetData>
    <row r="1" spans="1:16" ht="117.75" customHeight="1">
      <c r="A1" s="1845"/>
      <c r="B1" s="1845"/>
      <c r="C1" s="1845"/>
      <c r="D1" s="1845"/>
      <c r="E1" s="1845"/>
      <c r="F1" s="1845"/>
      <c r="G1" s="1845"/>
      <c r="H1" s="1845"/>
      <c r="I1" s="1845"/>
      <c r="J1" s="1845"/>
      <c r="K1" s="1845"/>
      <c r="L1" s="1845"/>
      <c r="M1" s="1845"/>
      <c r="N1" s="1845"/>
      <c r="O1" s="1845"/>
      <c r="P1" s="1845"/>
    </row>
    <row r="2" spans="1:16" ht="14.25" customHeight="1">
      <c r="A2" s="1846" t="s">
        <v>33</v>
      </c>
      <c r="B2" s="1846"/>
      <c r="C2" s="1846"/>
      <c r="D2" s="1846"/>
      <c r="E2" s="1846"/>
      <c r="F2" s="1846"/>
      <c r="G2" s="1846"/>
      <c r="H2" s="1846"/>
      <c r="I2" s="1846"/>
      <c r="J2" s="1846"/>
      <c r="K2" s="1846"/>
      <c r="L2" s="1846"/>
      <c r="M2" s="1846"/>
      <c r="N2" s="1846"/>
      <c r="O2" s="1846"/>
      <c r="P2" s="1846"/>
    </row>
    <row r="3" spans="1:16" ht="33" customHeight="1">
      <c r="A3" s="1847" t="s">
        <v>24</v>
      </c>
      <c r="B3" s="1847"/>
      <c r="C3" s="1847"/>
      <c r="D3" s="1847"/>
      <c r="E3" s="94"/>
      <c r="F3" s="66"/>
      <c r="G3" s="66"/>
      <c r="H3" s="66"/>
      <c r="I3" s="66"/>
      <c r="J3" s="66"/>
      <c r="K3" s="66"/>
      <c r="L3" s="66"/>
      <c r="M3" s="66"/>
      <c r="N3" s="66"/>
      <c r="O3" s="66"/>
    </row>
    <row r="4" spans="1:16" ht="42.75" customHeight="1">
      <c r="A4" s="327" t="s">
        <v>25</v>
      </c>
      <c r="B4" s="325" t="s">
        <v>35</v>
      </c>
      <c r="C4" s="325" t="s">
        <v>34</v>
      </c>
      <c r="D4" s="326" t="s">
        <v>545</v>
      </c>
      <c r="F4" s="66"/>
      <c r="G4" s="105"/>
      <c r="H4" s="66"/>
      <c r="I4" s="367"/>
      <c r="J4" s="66"/>
      <c r="K4" s="66"/>
      <c r="L4" s="66"/>
      <c r="M4" s="66"/>
      <c r="N4" s="66"/>
      <c r="O4" s="66"/>
    </row>
    <row r="5" spans="1:16" ht="18.75" hidden="1">
      <c r="A5" s="1027" t="s">
        <v>26</v>
      </c>
      <c r="B5" s="370">
        <v>8742318</v>
      </c>
      <c r="C5" s="371">
        <v>53200</v>
      </c>
      <c r="D5" s="375">
        <f>+C5/B5</f>
        <v>6.0853425830540596E-3</v>
      </c>
      <c r="F5" s="66"/>
      <c r="G5" s="105"/>
      <c r="H5" s="66"/>
      <c r="I5" s="367"/>
      <c r="J5" s="66"/>
      <c r="K5" s="66"/>
      <c r="L5" s="66"/>
      <c r="M5" s="66"/>
      <c r="N5" s="66"/>
      <c r="O5" s="66"/>
    </row>
    <row r="6" spans="1:16" ht="18.75" hidden="1">
      <c r="A6" s="1032" t="s">
        <v>27</v>
      </c>
      <c r="B6" s="372">
        <v>8855026</v>
      </c>
      <c r="C6" s="254">
        <v>64713</v>
      </c>
      <c r="D6" s="376">
        <f t="shared" ref="D6:D19" si="0">+C6/B6</f>
        <v>7.3080530762981381E-3</v>
      </c>
      <c r="F6" s="104"/>
      <c r="G6" s="105"/>
      <c r="H6" s="66"/>
      <c r="I6" s="367"/>
      <c r="J6" s="66"/>
      <c r="K6" s="66"/>
      <c r="L6" s="66"/>
      <c r="M6" s="66"/>
      <c r="N6" s="66"/>
      <c r="O6" s="66"/>
    </row>
    <row r="7" spans="1:16" ht="18.75">
      <c r="A7" s="1032" t="s">
        <v>28</v>
      </c>
      <c r="B7" s="372">
        <v>8968144</v>
      </c>
      <c r="C7" s="254">
        <v>1687712</v>
      </c>
      <c r="D7" s="925">
        <f t="shared" si="0"/>
        <v>0.18818966332387169</v>
      </c>
      <c r="F7" s="104"/>
      <c r="G7" s="105"/>
      <c r="H7" s="66"/>
      <c r="I7" s="367"/>
      <c r="J7" s="66"/>
      <c r="K7" s="66"/>
      <c r="L7" s="66"/>
      <c r="M7" s="66"/>
      <c r="N7" s="66"/>
      <c r="O7" s="66"/>
    </row>
    <row r="8" spans="1:16" ht="18.75">
      <c r="A8" s="1032" t="s">
        <v>29</v>
      </c>
      <c r="B8" s="372">
        <v>9072308</v>
      </c>
      <c r="C8" s="254">
        <v>2102527</v>
      </c>
      <c r="D8" s="925">
        <f t="shared" si="0"/>
        <v>0.23175216273521579</v>
      </c>
      <c r="F8" s="104"/>
      <c r="G8" s="105"/>
      <c r="H8" s="66"/>
      <c r="I8" s="367"/>
      <c r="J8" s="66"/>
      <c r="K8" s="66"/>
      <c r="L8" s="66"/>
      <c r="M8" s="66"/>
      <c r="N8" s="66"/>
      <c r="O8" s="66"/>
    </row>
    <row r="9" spans="1:16" ht="18.75">
      <c r="A9" s="1032" t="s">
        <v>30</v>
      </c>
      <c r="B9" s="372">
        <v>9175265</v>
      </c>
      <c r="C9" s="254">
        <v>2449608</v>
      </c>
      <c r="D9" s="925">
        <f t="shared" si="0"/>
        <v>0.26697953683081632</v>
      </c>
      <c r="G9" s="105"/>
      <c r="H9" s="66"/>
      <c r="I9" s="367"/>
      <c r="J9" s="66"/>
      <c r="K9" s="66"/>
      <c r="L9" s="66"/>
      <c r="M9" s="66"/>
      <c r="N9" s="66"/>
      <c r="O9" s="66"/>
    </row>
    <row r="10" spans="1:16" ht="18.75">
      <c r="A10" s="1032" t="s">
        <v>31</v>
      </c>
      <c r="B10" s="372">
        <v>9277181</v>
      </c>
      <c r="C10" s="254">
        <v>2934940</v>
      </c>
      <c r="D10" s="925">
        <f t="shared" si="0"/>
        <v>0.31636118773580035</v>
      </c>
      <c r="F10" s="104"/>
      <c r="G10" s="105"/>
      <c r="H10" s="66"/>
      <c r="I10" s="367"/>
      <c r="J10" s="66"/>
      <c r="K10" s="66"/>
      <c r="L10" s="66"/>
      <c r="M10" s="66"/>
      <c r="N10" s="66"/>
      <c r="O10" s="66"/>
    </row>
    <row r="11" spans="1:16" ht="18.75">
      <c r="A11" s="1032" t="s">
        <v>32</v>
      </c>
      <c r="B11" s="372">
        <v>9378455</v>
      </c>
      <c r="C11" s="254">
        <v>3521433</v>
      </c>
      <c r="D11" s="925">
        <f t="shared" si="0"/>
        <v>0.3754811426828833</v>
      </c>
      <c r="F11" s="104"/>
      <c r="G11" s="105"/>
      <c r="H11" s="66"/>
      <c r="I11" s="367"/>
      <c r="J11" s="66"/>
      <c r="K11" s="66"/>
      <c r="L11" s="66"/>
      <c r="M11" s="66"/>
      <c r="N11" s="66"/>
      <c r="O11" s="66"/>
    </row>
    <row r="12" spans="1:16" ht="18.75">
      <c r="A12" s="1032" t="s">
        <v>195</v>
      </c>
      <c r="B12" s="372">
        <v>9478612</v>
      </c>
      <c r="C12" s="254">
        <v>4414548</v>
      </c>
      <c r="D12" s="925">
        <f t="shared" si="0"/>
        <v>0.46573781055707314</v>
      </c>
      <c r="F12" s="104"/>
      <c r="G12" s="105"/>
      <c r="H12" s="66"/>
      <c r="I12" s="367"/>
      <c r="J12" s="66"/>
      <c r="K12" s="66"/>
      <c r="L12" s="66"/>
      <c r="M12" s="66"/>
      <c r="N12" s="66"/>
      <c r="O12" s="66"/>
    </row>
    <row r="13" spans="1:16" ht="18.75">
      <c r="A13" s="1032" t="s">
        <v>241</v>
      </c>
      <c r="B13" s="372">
        <v>9579983</v>
      </c>
      <c r="C13" s="254">
        <v>4564572</v>
      </c>
      <c r="D13" s="925">
        <f t="shared" si="0"/>
        <v>0.47646973903815903</v>
      </c>
      <c r="F13" s="129"/>
      <c r="G13" s="105"/>
      <c r="H13" s="66"/>
      <c r="I13" s="367"/>
      <c r="J13" s="67"/>
      <c r="K13" s="67"/>
      <c r="L13" s="67"/>
      <c r="M13" s="67"/>
      <c r="N13" s="67"/>
      <c r="O13" s="67"/>
    </row>
    <row r="14" spans="1:16" ht="18.75">
      <c r="A14" s="1032" t="s">
        <v>36</v>
      </c>
      <c r="B14" s="372">
        <v>9680534</v>
      </c>
      <c r="C14" s="254">
        <v>5054406</v>
      </c>
      <c r="D14" s="925">
        <f t="shared" si="0"/>
        <v>0.52212057723261962</v>
      </c>
      <c r="F14" s="67"/>
      <c r="G14" s="105"/>
      <c r="H14" s="66"/>
      <c r="I14" s="367"/>
      <c r="J14" s="67"/>
      <c r="K14" s="67"/>
      <c r="L14" s="67"/>
      <c r="M14" s="67"/>
      <c r="N14" s="67"/>
      <c r="O14" s="67"/>
    </row>
    <row r="15" spans="1:16" ht="18.75">
      <c r="A15" s="1032" t="s">
        <v>37</v>
      </c>
      <c r="B15" s="372">
        <v>9780743</v>
      </c>
      <c r="C15" s="254">
        <v>5638332</v>
      </c>
      <c r="D15" s="925">
        <f t="shared" si="0"/>
        <v>0.57647276899106747</v>
      </c>
      <c r="F15" s="67"/>
      <c r="G15" s="105"/>
      <c r="H15" s="66"/>
      <c r="I15" s="367"/>
      <c r="J15" s="67"/>
      <c r="K15" s="67"/>
      <c r="L15" s="67"/>
      <c r="M15" s="67"/>
      <c r="N15" s="67"/>
      <c r="O15" s="67"/>
    </row>
    <row r="16" spans="1:16" ht="18.75">
      <c r="A16" s="1030" t="s">
        <v>38</v>
      </c>
      <c r="B16" s="372">
        <v>9880505</v>
      </c>
      <c r="C16" s="254">
        <v>6187615</v>
      </c>
      <c r="D16" s="925">
        <f t="shared" si="0"/>
        <v>0.6262448123856017</v>
      </c>
      <c r="G16" s="105"/>
      <c r="H16" s="66"/>
      <c r="I16" s="367"/>
      <c r="J16" s="67"/>
      <c r="K16" s="67"/>
      <c r="L16" s="67"/>
      <c r="M16" s="67"/>
      <c r="N16" s="67"/>
      <c r="O16" s="67"/>
    </row>
    <row r="17" spans="1:15" ht="18.75">
      <c r="A17" s="1030" t="s">
        <v>39</v>
      </c>
      <c r="B17" s="373">
        <v>9980243</v>
      </c>
      <c r="C17" s="415">
        <f t="shared" ref="C17:C23" si="1">+$D$35+C16</f>
        <v>6824936</v>
      </c>
      <c r="D17" s="926">
        <f t="shared" si="0"/>
        <v>0.683844671918309</v>
      </c>
      <c r="G17" s="105"/>
      <c r="H17" s="66"/>
      <c r="I17" s="367"/>
      <c r="J17" s="67"/>
      <c r="K17" s="67"/>
      <c r="L17" s="67"/>
      <c r="M17" s="67"/>
      <c r="N17" s="67"/>
      <c r="O17" s="67"/>
    </row>
    <row r="18" spans="1:15" ht="18.75">
      <c r="A18" s="1030" t="s">
        <v>40</v>
      </c>
      <c r="B18" s="373">
        <v>10075780</v>
      </c>
      <c r="C18" s="415">
        <f t="shared" si="1"/>
        <v>7462257</v>
      </c>
      <c r="D18" s="926">
        <f t="shared" si="0"/>
        <v>0.74061333216882463</v>
      </c>
      <c r="G18" s="67"/>
      <c r="H18" s="66"/>
      <c r="I18" s="367"/>
      <c r="J18" s="67"/>
      <c r="K18" s="67"/>
      <c r="L18" s="67"/>
      <c r="M18" s="67"/>
      <c r="N18" s="67"/>
      <c r="O18" s="67"/>
    </row>
    <row r="19" spans="1:15" ht="18.75">
      <c r="A19" s="1030" t="s">
        <v>41</v>
      </c>
      <c r="B19" s="373">
        <v>10170498</v>
      </c>
      <c r="C19" s="415">
        <f t="shared" si="1"/>
        <v>8099578</v>
      </c>
      <c r="D19" s="926">
        <f t="shared" si="0"/>
        <v>0.79637968563584594</v>
      </c>
      <c r="G19" s="67"/>
      <c r="H19" s="66"/>
      <c r="I19" s="367"/>
      <c r="J19" s="67"/>
      <c r="K19" s="67"/>
      <c r="L19" s="67"/>
      <c r="M19" s="67"/>
      <c r="N19" s="67"/>
      <c r="O19" s="67"/>
    </row>
    <row r="20" spans="1:15" ht="18.75">
      <c r="A20" s="1030" t="s">
        <v>42</v>
      </c>
      <c r="B20" s="373">
        <v>10264384</v>
      </c>
      <c r="C20" s="415">
        <f t="shared" si="1"/>
        <v>8736899</v>
      </c>
      <c r="D20" s="926">
        <f>+C20/B20</f>
        <v>0.8511859065288282</v>
      </c>
      <c r="G20" s="67"/>
      <c r="H20" s="66"/>
      <c r="I20" s="367"/>
      <c r="J20" s="67"/>
      <c r="K20" s="67"/>
      <c r="L20" s="67"/>
      <c r="M20" s="67"/>
      <c r="N20" s="67"/>
      <c r="O20" s="67"/>
    </row>
    <row r="21" spans="1:15" ht="18.75">
      <c r="A21" s="1030" t="s">
        <v>242</v>
      </c>
      <c r="B21" s="373">
        <v>10357021</v>
      </c>
      <c r="C21" s="415">
        <f t="shared" si="1"/>
        <v>9374220</v>
      </c>
      <c r="D21" s="926">
        <f>+C21/B21</f>
        <v>0.90510775250914333</v>
      </c>
      <c r="G21" s="67"/>
      <c r="H21" s="67"/>
      <c r="I21" s="67"/>
      <c r="J21" s="67"/>
      <c r="K21" s="67"/>
      <c r="L21" s="94"/>
    </row>
    <row r="22" spans="1:15" ht="18.75">
      <c r="A22" s="1030" t="s">
        <v>243</v>
      </c>
      <c r="B22" s="373">
        <v>10448497</v>
      </c>
      <c r="C22" s="415">
        <f t="shared" si="1"/>
        <v>10011541</v>
      </c>
      <c r="D22" s="926">
        <f>+C22/B22</f>
        <v>0.95818001383356854</v>
      </c>
      <c r="F22" s="67"/>
      <c r="G22" s="67"/>
      <c r="H22" s="369"/>
      <c r="I22" s="368"/>
      <c r="J22" s="67"/>
      <c r="K22" s="67"/>
      <c r="L22" s="94"/>
    </row>
    <row r="23" spans="1:15" ht="17.25" customHeight="1">
      <c r="A23" s="1031" t="s">
        <v>244</v>
      </c>
      <c r="B23" s="374">
        <v>10624364</v>
      </c>
      <c r="C23" s="416">
        <f t="shared" si="1"/>
        <v>10648862</v>
      </c>
      <c r="D23" s="1784">
        <f>+C23/B23</f>
        <v>1.0023058321420464</v>
      </c>
      <c r="E23" s="1"/>
      <c r="F23" s="1"/>
      <c r="G23" s="1"/>
      <c r="H23" s="1"/>
      <c r="I23" s="1"/>
      <c r="J23" s="1"/>
      <c r="K23" s="1"/>
    </row>
    <row r="24" spans="1:15">
      <c r="B24" s="1"/>
      <c r="C24" s="1"/>
      <c r="D24" s="1"/>
      <c r="E24" s="1"/>
      <c r="F24" s="1"/>
      <c r="G24" s="1"/>
      <c r="H24" s="1"/>
      <c r="I24" s="1"/>
      <c r="J24" s="1"/>
      <c r="K24" s="1"/>
    </row>
    <row r="25" spans="1:15">
      <c r="B25" s="1"/>
      <c r="C25" s="1"/>
      <c r="D25" s="1"/>
      <c r="E25" s="1"/>
      <c r="F25" s="1"/>
      <c r="G25" s="1"/>
      <c r="H25" s="1"/>
      <c r="I25" s="1"/>
      <c r="J25" s="1"/>
      <c r="K25" s="1"/>
    </row>
    <row r="26" spans="1:15">
      <c r="B26" s="1"/>
      <c r="C26" s="1"/>
      <c r="D26" s="1"/>
      <c r="E26" s="1"/>
      <c r="F26" s="1"/>
      <c r="G26" s="1"/>
      <c r="H26" s="1"/>
      <c r="I26" s="1"/>
      <c r="J26" s="1"/>
      <c r="K26" s="1"/>
    </row>
    <row r="27" spans="1:15">
      <c r="B27" s="255"/>
      <c r="C27" s="1"/>
      <c r="D27" s="1"/>
      <c r="E27" s="1"/>
      <c r="F27" s="1"/>
      <c r="G27" s="1"/>
      <c r="H27" s="1"/>
      <c r="I27" s="1"/>
      <c r="J27" s="1"/>
      <c r="K27" s="1"/>
    </row>
    <row r="28" spans="1:15">
      <c r="B28" s="1"/>
      <c r="C28" s="1"/>
      <c r="D28" s="1"/>
      <c r="E28" s="1"/>
      <c r="F28" s="1"/>
      <c r="G28" s="1"/>
      <c r="H28" s="1"/>
      <c r="I28" s="1"/>
      <c r="J28" s="1"/>
      <c r="K28" s="1"/>
    </row>
    <row r="29" spans="1:15">
      <c r="B29" s="1"/>
      <c r="C29" s="1"/>
      <c r="D29" s="1"/>
      <c r="E29" s="1"/>
      <c r="F29" s="1"/>
      <c r="G29" s="1"/>
      <c r="H29" s="1"/>
      <c r="I29" s="1"/>
      <c r="J29" s="1"/>
      <c r="K29" s="1"/>
    </row>
    <row r="30" spans="1:15">
      <c r="B30" s="1"/>
      <c r="C30" s="1"/>
      <c r="D30" s="1"/>
      <c r="E30" s="1"/>
      <c r="F30" s="1"/>
      <c r="G30" s="1"/>
      <c r="H30" s="1"/>
      <c r="I30" s="1"/>
      <c r="J30" s="1"/>
      <c r="K30" s="1"/>
    </row>
    <row r="31" spans="1:15">
      <c r="F31" s="1"/>
      <c r="G31" s="1"/>
      <c r="H31" s="1"/>
      <c r="I31" s="1"/>
      <c r="J31" s="1"/>
      <c r="K31" s="1"/>
    </row>
    <row r="32" spans="1:15">
      <c r="F32" s="1"/>
      <c r="G32" s="1"/>
      <c r="H32" s="1"/>
      <c r="I32" s="1"/>
      <c r="J32" s="1"/>
      <c r="K32" s="1"/>
    </row>
    <row r="33" spans="2:11">
      <c r="F33" s="1"/>
      <c r="G33" s="1"/>
      <c r="H33" s="1"/>
      <c r="I33" s="1"/>
      <c r="J33" s="1"/>
      <c r="K33" s="1"/>
    </row>
    <row r="34" spans="2:11">
      <c r="C34" s="1781"/>
      <c r="D34" s="54"/>
      <c r="E34" s="54"/>
      <c r="F34" s="1"/>
      <c r="G34" s="1"/>
      <c r="H34" s="1"/>
      <c r="I34" s="1"/>
      <c r="J34" s="1"/>
      <c r="K34" s="1"/>
    </row>
    <row r="35" spans="2:11" ht="18.75">
      <c r="C35" s="1781"/>
      <c r="D35" s="1782">
        <f t="shared" ref="D35:D40" si="2">592018*E16+637321</f>
        <v>637321</v>
      </c>
      <c r="E35" s="54"/>
      <c r="F35" s="1"/>
      <c r="G35" s="1"/>
      <c r="H35" s="1"/>
      <c r="I35" s="1"/>
      <c r="J35" s="1"/>
      <c r="K35" s="1"/>
    </row>
    <row r="36" spans="2:11" ht="18.75">
      <c r="C36" s="1781"/>
      <c r="D36" s="1782">
        <f t="shared" si="2"/>
        <v>637321</v>
      </c>
      <c r="E36" s="54"/>
      <c r="F36" s="1"/>
      <c r="G36" s="1"/>
      <c r="H36" s="1"/>
      <c r="I36" s="1"/>
      <c r="J36" s="1"/>
      <c r="K36" s="1"/>
    </row>
    <row r="37" spans="2:11" ht="18.75">
      <c r="C37" s="1781"/>
      <c r="D37" s="1782">
        <f t="shared" si="2"/>
        <v>637321</v>
      </c>
      <c r="E37" s="54"/>
      <c r="F37" s="1"/>
      <c r="G37" s="1"/>
      <c r="H37" s="1"/>
      <c r="I37" s="1"/>
      <c r="J37" s="1"/>
      <c r="K37" s="1"/>
    </row>
    <row r="38" spans="2:11" ht="18.75">
      <c r="C38" s="1781"/>
      <c r="D38" s="1782">
        <f t="shared" si="2"/>
        <v>637321</v>
      </c>
      <c r="E38" s="54"/>
      <c r="F38" s="1"/>
      <c r="G38" s="1"/>
      <c r="H38" s="1"/>
      <c r="I38" s="1"/>
      <c r="J38" s="1"/>
      <c r="K38" s="1"/>
    </row>
    <row r="39" spans="2:11" ht="18.75">
      <c r="C39" s="1781"/>
      <c r="D39" s="1782">
        <f t="shared" si="2"/>
        <v>637321</v>
      </c>
      <c r="E39" s="54"/>
      <c r="F39" s="1"/>
      <c r="G39" s="1"/>
      <c r="H39" s="1"/>
      <c r="I39" s="1"/>
      <c r="J39" s="1"/>
      <c r="K39" s="1"/>
    </row>
    <row r="40" spans="2:11" ht="18.75">
      <c r="C40" s="1781"/>
      <c r="D40" s="1782">
        <f t="shared" si="2"/>
        <v>637321</v>
      </c>
      <c r="E40" s="54"/>
      <c r="F40" s="1"/>
      <c r="G40" s="1"/>
      <c r="H40" s="1"/>
      <c r="I40" s="1"/>
      <c r="J40" s="1"/>
      <c r="K40" s="1"/>
    </row>
    <row r="41" spans="2:11">
      <c r="C41" s="1781"/>
      <c r="D41" s="54"/>
      <c r="E41" s="54"/>
      <c r="F41" s="1"/>
      <c r="G41" s="1"/>
      <c r="H41" s="1"/>
      <c r="I41" s="1"/>
      <c r="J41" s="1"/>
      <c r="K41" s="1"/>
    </row>
    <row r="42" spans="2:11">
      <c r="B42" s="1"/>
      <c r="C42" s="1"/>
      <c r="D42" s="1783"/>
      <c r="E42" s="1783"/>
      <c r="F42" s="1"/>
      <c r="G42" s="1"/>
      <c r="H42" s="1"/>
      <c r="I42" s="1"/>
      <c r="J42" s="1"/>
      <c r="K42" s="1"/>
    </row>
    <row r="43" spans="2:11">
      <c r="B43" s="1"/>
      <c r="C43" s="1"/>
      <c r="D43" s="1783"/>
      <c r="E43" s="1783"/>
      <c r="F43" s="1"/>
      <c r="G43" s="1"/>
      <c r="H43" s="1"/>
      <c r="I43" s="1"/>
      <c r="J43" s="1"/>
      <c r="K43" s="1"/>
    </row>
    <row r="44" spans="2:11">
      <c r="B44" s="1"/>
      <c r="C44" s="1"/>
      <c r="D44" s="1783"/>
      <c r="E44" s="1783"/>
      <c r="F44" s="1"/>
      <c r="G44" s="1"/>
      <c r="H44" s="1"/>
      <c r="I44" s="1"/>
      <c r="J44" s="1"/>
      <c r="K44" s="1"/>
    </row>
    <row r="45" spans="2:11">
      <c r="B45" s="1"/>
      <c r="C45" s="1"/>
      <c r="D45" s="1"/>
      <c r="E45" s="1"/>
      <c r="F45" s="1"/>
      <c r="G45" s="1"/>
      <c r="H45" s="1"/>
      <c r="I45" s="1"/>
      <c r="J45" s="1"/>
      <c r="K45" s="1"/>
    </row>
    <row r="46" spans="2:11">
      <c r="B46" s="1"/>
      <c r="C46" s="1"/>
      <c r="D46" s="1"/>
      <c r="E46" s="1"/>
      <c r="F46" s="1"/>
      <c r="G46" s="1"/>
      <c r="H46" s="1"/>
      <c r="I46" s="1"/>
      <c r="J46" s="1"/>
      <c r="K46" s="1"/>
    </row>
    <row r="47" spans="2:11">
      <c r="B47" s="1"/>
      <c r="C47" s="1"/>
      <c r="D47" s="1"/>
      <c r="E47" s="1"/>
      <c r="F47" s="1"/>
      <c r="G47" s="1"/>
      <c r="H47" s="1"/>
      <c r="I47" s="1"/>
      <c r="J47" s="1"/>
      <c r="K47" s="1"/>
    </row>
    <row r="48" spans="2:11">
      <c r="B48" s="1"/>
      <c r="C48" s="1"/>
      <c r="D48" s="1"/>
      <c r="E48" s="1"/>
      <c r="F48" s="1"/>
      <c r="G48" s="1"/>
      <c r="H48" s="1"/>
      <c r="I48" s="1"/>
      <c r="J48" s="1"/>
      <c r="K48" s="1"/>
    </row>
    <row r="49" spans="2:11">
      <c r="B49" s="1"/>
      <c r="C49" s="1"/>
      <c r="D49" s="1"/>
      <c r="E49" s="1"/>
      <c r="F49" s="1"/>
      <c r="G49" s="1"/>
      <c r="H49" s="1"/>
      <c r="I49" s="1"/>
      <c r="J49" s="1"/>
      <c r="K49" s="1"/>
    </row>
    <row r="50" spans="2:11">
      <c r="B50" s="1"/>
      <c r="C50" s="1"/>
      <c r="D50" s="1"/>
      <c r="E50" s="1"/>
      <c r="F50" s="1"/>
      <c r="G50" s="1"/>
      <c r="H50" s="1"/>
      <c r="I50" s="1"/>
      <c r="J50" s="1"/>
      <c r="K50" s="1"/>
    </row>
    <row r="51" spans="2:11">
      <c r="B51" s="1"/>
      <c r="C51" s="1"/>
      <c r="D51" s="1"/>
      <c r="E51" s="1"/>
      <c r="F51" s="1"/>
      <c r="G51" s="1"/>
      <c r="H51" s="1"/>
      <c r="I51" s="1"/>
      <c r="J51" s="1"/>
      <c r="K51" s="1"/>
    </row>
    <row r="52" spans="2:11">
      <c r="B52" s="1"/>
      <c r="C52" s="1"/>
      <c r="D52" s="1"/>
    </row>
    <row r="57" spans="2:11" ht="36.75" customHeight="1"/>
  </sheetData>
  <mergeCells count="3">
    <mergeCell ref="A1:P1"/>
    <mergeCell ref="A2:P2"/>
    <mergeCell ref="A3:D3"/>
  </mergeCells>
  <printOptions horizontalCentered="1" verticalCentered="1"/>
  <pageMargins left="0.39370078740157483" right="0.39370078740157483" top="0.23622047244094491" bottom="0.19" header="0.24" footer="0.18"/>
  <pageSetup scale="4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showGridLines="0" showRowColHeaders="0" view="pageBreakPreview" zoomScale="70" zoomScaleNormal="100" zoomScaleSheetLayoutView="70" workbookViewId="0">
      <selection activeCell="L51" sqref="L51"/>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D2:R51"/>
  <sheetViews>
    <sheetView showGridLines="0" view="pageBreakPreview" zoomScale="85" zoomScaleNormal="100" zoomScaleSheetLayoutView="85" workbookViewId="0">
      <selection activeCell="M45" sqref="M45"/>
    </sheetView>
  </sheetViews>
  <sheetFormatPr baseColWidth="10" defaultColWidth="11.42578125" defaultRowHeight="15"/>
  <cols>
    <col min="1" max="8" width="12.85546875" style="77" customWidth="1"/>
    <col min="9" max="9" width="18.7109375" style="77" customWidth="1"/>
    <col min="10" max="10" width="18.85546875" style="77" customWidth="1"/>
    <col min="11" max="11" width="18.5703125" style="77" customWidth="1"/>
    <col min="12" max="12" width="26.42578125" style="77" customWidth="1"/>
    <col min="13" max="13" width="20.85546875" style="77" customWidth="1"/>
    <col min="14" max="14" width="5.5703125" style="77" customWidth="1"/>
    <col min="15" max="15" width="16" style="77" customWidth="1"/>
    <col min="16" max="16" width="17.85546875" style="77" bestFit="1" customWidth="1"/>
    <col min="17" max="16384" width="11.42578125" style="77"/>
  </cols>
  <sheetData>
    <row r="2" spans="15:18">
      <c r="O2" s="182"/>
    </row>
    <row r="6" spans="15:18" ht="11.25" customHeight="1">
      <c r="O6" s="927"/>
    </row>
    <row r="15" spans="15:18">
      <c r="Q15" s="284"/>
    </row>
    <row r="16" spans="15:18">
      <c r="Q16" s="284"/>
      <c r="R16" s="556"/>
    </row>
    <row r="17" spans="13:17">
      <c r="Q17" s="284"/>
    </row>
    <row r="21" spans="13:17">
      <c r="O21" s="182"/>
    </row>
    <row r="22" spans="13:17">
      <c r="Q22" s="182"/>
    </row>
    <row r="23" spans="13:17">
      <c r="Q23" s="182"/>
    </row>
    <row r="24" spans="13:17">
      <c r="M24" s="182"/>
      <c r="Q24" s="182"/>
    </row>
    <row r="25" spans="13:17">
      <c r="Q25" s="182"/>
    </row>
    <row r="26" spans="13:17">
      <c r="M26" s="182"/>
    </row>
    <row r="27" spans="13:17">
      <c r="P27" s="557"/>
    </row>
    <row r="30" spans="13:17">
      <c r="P30" s="182"/>
    </row>
    <row r="31" spans="13:17">
      <c r="P31" s="182"/>
    </row>
    <row r="32" spans="13:17">
      <c r="P32" s="182"/>
    </row>
    <row r="34" spans="4:16">
      <c r="O34" s="927"/>
    </row>
    <row r="35" spans="4:16">
      <c r="O35" s="927"/>
    </row>
    <row r="38" spans="4:16">
      <c r="P38" s="182"/>
    </row>
    <row r="39" spans="4:16">
      <c r="P39" s="182"/>
    </row>
    <row r="40" spans="4:16">
      <c r="P40" s="182"/>
    </row>
    <row r="42" spans="4:16">
      <c r="O42" s="927"/>
    </row>
    <row r="43" spans="4:16">
      <c r="O43" s="927"/>
    </row>
    <row r="46" spans="4:16" ht="20.25" customHeight="1"/>
    <row r="47" spans="4:16">
      <c r="D47" s="182"/>
      <c r="E47" s="182"/>
      <c r="P47" s="927"/>
    </row>
    <row r="48" spans="4:16">
      <c r="D48" s="182"/>
      <c r="E48" s="182"/>
      <c r="G48" s="165"/>
      <c r="H48" s="182"/>
      <c r="P48" s="927"/>
    </row>
    <row r="49" spans="6:15">
      <c r="F49" s="556"/>
      <c r="G49" s="165"/>
      <c r="H49" s="182"/>
    </row>
    <row r="50" spans="6:15">
      <c r="G50" s="165"/>
      <c r="H50" s="182"/>
    </row>
    <row r="51" spans="6:15">
      <c r="O51" s="927"/>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92"/>
  <sheetViews>
    <sheetView showGridLines="0" view="pageBreakPreview" zoomScale="55" zoomScaleNormal="100" zoomScaleSheetLayoutView="55" zoomScalePageLayoutView="62" workbookViewId="0">
      <pane xSplit="17" topLeftCell="R1" activePane="topRight" state="frozenSplit"/>
      <selection pane="topRight" activeCell="J7" sqref="J7"/>
    </sheetView>
  </sheetViews>
  <sheetFormatPr baseColWidth="10" defaultColWidth="11.42578125" defaultRowHeight="21"/>
  <cols>
    <col min="1" max="1" width="16.7109375" style="77" customWidth="1"/>
    <col min="2" max="2" width="20.42578125" style="77" customWidth="1"/>
    <col min="3" max="3" width="21.7109375" style="77" customWidth="1"/>
    <col min="4" max="4" width="20.5703125" style="77" customWidth="1"/>
    <col min="5" max="5" width="24.140625" style="77" customWidth="1"/>
    <col min="6" max="6" width="23.85546875" style="77" customWidth="1"/>
    <col min="7" max="7" width="20.28515625" style="77" customWidth="1"/>
    <col min="8" max="8" width="29.42578125" style="77" customWidth="1"/>
    <col min="9" max="9" width="22" style="77" customWidth="1"/>
    <col min="10" max="10" width="23.5703125" style="77" customWidth="1"/>
    <col min="11" max="11" width="19.28515625" style="77" customWidth="1"/>
    <col min="12" max="12" width="24.85546875" style="77" customWidth="1"/>
    <col min="13" max="13" width="17.28515625" style="77" customWidth="1"/>
    <col min="14" max="14" width="17" style="77" customWidth="1"/>
    <col min="15" max="15" width="12.5703125" style="77" customWidth="1"/>
    <col min="16" max="16" width="13.28515625" style="77" customWidth="1"/>
    <col min="17" max="17" width="25.28515625" style="1262"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08" customHeight="1">
      <c r="A1" s="1848"/>
      <c r="B1" s="1848"/>
      <c r="C1" s="1848"/>
      <c r="D1" s="1848"/>
      <c r="E1" s="1848"/>
      <c r="F1" s="1848"/>
      <c r="G1" s="1848"/>
      <c r="H1" s="1848"/>
      <c r="I1" s="1848"/>
      <c r="J1" s="1848"/>
      <c r="K1" s="1848"/>
      <c r="L1" s="1848"/>
      <c r="M1" s="1848"/>
      <c r="N1" s="1848"/>
      <c r="O1" s="1848"/>
      <c r="P1" s="1848"/>
    </row>
    <row r="2" spans="1:31" ht="64.5" customHeight="1">
      <c r="A2" s="385" t="s">
        <v>248</v>
      </c>
      <c r="B2" s="386" t="s">
        <v>553</v>
      </c>
      <c r="C2" s="386" t="s">
        <v>585</v>
      </c>
      <c r="D2" s="386" t="s">
        <v>554</v>
      </c>
      <c r="E2" s="386" t="s">
        <v>555</v>
      </c>
      <c r="F2" s="1420" t="s">
        <v>556</v>
      </c>
      <c r="G2" s="386" t="s">
        <v>635</v>
      </c>
      <c r="H2" s="386" t="s">
        <v>636</v>
      </c>
      <c r="I2" s="388" t="s">
        <v>563</v>
      </c>
      <c r="J2" s="61"/>
      <c r="K2" s="61"/>
      <c r="L2" s="61"/>
      <c r="M2" s="61"/>
      <c r="N2" s="61"/>
      <c r="O2" s="61"/>
      <c r="P2" s="61"/>
      <c r="Q2" s="62"/>
      <c r="R2" s="24"/>
      <c r="S2" s="24"/>
      <c r="T2" s="24"/>
    </row>
    <row r="3" spans="1:31" ht="18.75" customHeight="1">
      <c r="A3" s="389" t="s">
        <v>488</v>
      </c>
      <c r="B3" s="1421">
        <v>919911</v>
      </c>
      <c r="C3" s="1422">
        <f t="shared" ref="C3:C8" si="0">D3+E3</f>
        <v>557270</v>
      </c>
      <c r="D3" s="1421">
        <v>553015</v>
      </c>
      <c r="E3" s="1421">
        <v>4255</v>
      </c>
      <c r="F3" s="1423">
        <f t="shared" ref="F3:F10" si="1">+B3+D3+E3</f>
        <v>1477181</v>
      </c>
      <c r="G3" s="1514">
        <f t="shared" ref="G3:G8" si="2">B3/F3</f>
        <v>0.62274765245423547</v>
      </c>
      <c r="H3" s="1514">
        <f t="shared" ref="H3:H8" si="3">C3/F3</f>
        <v>0.37725234754576453</v>
      </c>
      <c r="I3" s="1424">
        <f>+C3/B3</f>
        <v>0.60578686416403327</v>
      </c>
      <c r="J3" s="61"/>
      <c r="K3" s="1064"/>
      <c r="L3" s="61"/>
      <c r="M3" s="61"/>
      <c r="N3" s="61"/>
      <c r="O3" s="61"/>
      <c r="P3" s="61"/>
      <c r="R3" s="24"/>
      <c r="S3" s="24"/>
      <c r="T3" s="24"/>
    </row>
    <row r="4" spans="1:31" ht="18.75" customHeight="1">
      <c r="A4" s="389" t="s">
        <v>489</v>
      </c>
      <c r="B4" s="1421">
        <v>966146</v>
      </c>
      <c r="C4" s="1422">
        <f t="shared" si="0"/>
        <v>726113</v>
      </c>
      <c r="D4" s="1421">
        <v>707328</v>
      </c>
      <c r="E4" s="1421">
        <v>18785</v>
      </c>
      <c r="F4" s="1423">
        <f t="shared" si="1"/>
        <v>1692259</v>
      </c>
      <c r="G4" s="1514">
        <f t="shared" si="2"/>
        <v>0.57092088149627218</v>
      </c>
      <c r="H4" s="1514">
        <f t="shared" si="3"/>
        <v>0.42907911850372787</v>
      </c>
      <c r="I4" s="1424">
        <f t="shared" ref="I4:I10" si="4">+C4/B4</f>
        <v>0.75155618301995764</v>
      </c>
      <c r="J4" s="61"/>
      <c r="K4" s="1516"/>
      <c r="L4" s="61"/>
      <c r="M4" s="61"/>
      <c r="N4" s="61"/>
      <c r="O4" s="61"/>
      <c r="P4" s="61"/>
      <c r="Q4" s="1313"/>
      <c r="R4" s="24"/>
      <c r="S4" s="24"/>
      <c r="T4" s="24"/>
    </row>
    <row r="5" spans="1:31" ht="18.75" customHeight="1">
      <c r="A5" s="389" t="s">
        <v>199</v>
      </c>
      <c r="B5" s="1421">
        <v>1079602</v>
      </c>
      <c r="C5" s="1422">
        <f t="shared" si="0"/>
        <v>1008697</v>
      </c>
      <c r="D5" s="1421">
        <v>962409</v>
      </c>
      <c r="E5" s="1421">
        <v>46288</v>
      </c>
      <c r="F5" s="1423">
        <f t="shared" si="1"/>
        <v>2088299</v>
      </c>
      <c r="G5" s="1514">
        <f t="shared" si="2"/>
        <v>0.51697673561113611</v>
      </c>
      <c r="H5" s="1514">
        <f t="shared" si="3"/>
        <v>0.48302326438886384</v>
      </c>
      <c r="I5" s="1424">
        <f t="shared" si="4"/>
        <v>0.93432301903849757</v>
      </c>
      <c r="J5" s="1517"/>
      <c r="K5" s="1518"/>
      <c r="L5" s="1519"/>
      <c r="M5" s="1513"/>
      <c r="N5" s="1513"/>
      <c r="O5" s="1513"/>
      <c r="P5" s="1513"/>
      <c r="Q5" s="1313"/>
      <c r="R5" s="24"/>
      <c r="S5" s="24"/>
      <c r="T5" s="24"/>
    </row>
    <row r="6" spans="1:31" ht="18.75" customHeight="1">
      <c r="A6" s="389" t="s">
        <v>200</v>
      </c>
      <c r="B6" s="1421">
        <v>1152861</v>
      </c>
      <c r="C6" s="1422">
        <f t="shared" si="0"/>
        <v>1211222</v>
      </c>
      <c r="D6" s="1421">
        <v>1140803</v>
      </c>
      <c r="E6" s="1421">
        <v>70419</v>
      </c>
      <c r="F6" s="1423">
        <f t="shared" si="1"/>
        <v>2364083</v>
      </c>
      <c r="G6" s="1514">
        <f t="shared" si="2"/>
        <v>0.487656736248262</v>
      </c>
      <c r="H6" s="1514">
        <f t="shared" si="3"/>
        <v>0.512343263751738</v>
      </c>
      <c r="I6" s="1424">
        <f t="shared" si="4"/>
        <v>1.0506227550415879</v>
      </c>
      <c r="J6" s="1525"/>
      <c r="K6" s="1520"/>
      <c r="L6" s="1521"/>
      <c r="M6" s="1522"/>
      <c r="N6" s="1513"/>
      <c r="O6" s="1523"/>
      <c r="P6" s="1513"/>
      <c r="Q6" s="1313"/>
      <c r="R6" s="24"/>
      <c r="S6" s="24"/>
      <c r="T6" s="24"/>
    </row>
    <row r="7" spans="1:31" ht="18.75" customHeight="1">
      <c r="A7" s="389" t="s">
        <v>490</v>
      </c>
      <c r="B7" s="1421">
        <v>1188345</v>
      </c>
      <c r="C7" s="1422">
        <f t="shared" si="0"/>
        <v>1329078</v>
      </c>
      <c r="D7" s="1421">
        <v>1234019</v>
      </c>
      <c r="E7" s="1421">
        <v>95059</v>
      </c>
      <c r="F7" s="1423">
        <f t="shared" si="1"/>
        <v>2517423</v>
      </c>
      <c r="G7" s="1514">
        <f t="shared" si="2"/>
        <v>0.47204820167290124</v>
      </c>
      <c r="H7" s="1514">
        <f t="shared" si="3"/>
        <v>0.52795179832709882</v>
      </c>
      <c r="I7" s="1424">
        <f t="shared" si="4"/>
        <v>1.1184277293210305</v>
      </c>
      <c r="J7" s="1517"/>
      <c r="K7" s="1523"/>
      <c r="L7" s="894"/>
      <c r="M7" s="1523"/>
      <c r="N7" s="1513"/>
      <c r="O7" s="1523"/>
      <c r="P7" s="1513"/>
      <c r="Q7" s="1313"/>
      <c r="R7" s="24"/>
      <c r="S7" s="24"/>
      <c r="T7" s="24"/>
    </row>
    <row r="8" spans="1:31" ht="18.75" customHeight="1">
      <c r="A8" s="389" t="s">
        <v>491</v>
      </c>
      <c r="B8" s="1421">
        <v>1242830</v>
      </c>
      <c r="C8" s="1422">
        <f t="shared" si="0"/>
        <v>1445581</v>
      </c>
      <c r="D8" s="1421">
        <v>1332478</v>
      </c>
      <c r="E8" s="1421">
        <v>113103</v>
      </c>
      <c r="F8" s="1423">
        <f t="shared" si="1"/>
        <v>2688411</v>
      </c>
      <c r="G8" s="1514">
        <f t="shared" si="2"/>
        <v>0.46229166596922866</v>
      </c>
      <c r="H8" s="1514">
        <f t="shared" si="3"/>
        <v>0.53770833403077134</v>
      </c>
      <c r="I8" s="1424">
        <f t="shared" si="4"/>
        <v>1.1631365512580161</v>
      </c>
      <c r="J8" s="1513"/>
      <c r="K8" s="1523"/>
      <c r="L8" s="1524"/>
      <c r="M8" s="1524"/>
      <c r="N8" s="1513"/>
      <c r="O8" s="1523"/>
      <c r="P8" s="1513"/>
      <c r="Q8" s="1313"/>
      <c r="R8" s="24"/>
      <c r="S8" s="24"/>
      <c r="T8" s="24"/>
    </row>
    <row r="9" spans="1:31" ht="18.75" customHeight="1">
      <c r="A9" s="389" t="s">
        <v>557</v>
      </c>
      <c r="B9" s="1421">
        <v>1297821</v>
      </c>
      <c r="C9" s="1422">
        <f>D9+E9</f>
        <v>1561485</v>
      </c>
      <c r="D9" s="1421">
        <v>1429474</v>
      </c>
      <c r="E9" s="1421">
        <v>132011</v>
      </c>
      <c r="F9" s="1423">
        <f t="shared" si="1"/>
        <v>2859306</v>
      </c>
      <c r="G9" s="1514">
        <f>B9/F9</f>
        <v>0.45389370707437399</v>
      </c>
      <c r="H9" s="1514">
        <f>C9/F9</f>
        <v>0.54610629292562596</v>
      </c>
      <c r="I9" s="1424">
        <f t="shared" si="4"/>
        <v>1.203158987256332</v>
      </c>
      <c r="J9" s="1513"/>
      <c r="K9" s="1523"/>
      <c r="L9" s="1523"/>
      <c r="M9" s="1513"/>
      <c r="N9" s="1513"/>
      <c r="O9" s="1523"/>
      <c r="P9" s="1513"/>
      <c r="Q9" s="1314"/>
      <c r="R9" s="24"/>
      <c r="S9" s="24"/>
      <c r="T9" s="24"/>
    </row>
    <row r="10" spans="1:31" ht="18.75" customHeight="1">
      <c r="A10" s="389" t="s">
        <v>584</v>
      </c>
      <c r="B10" s="1421">
        <v>1422986</v>
      </c>
      <c r="C10" s="1422">
        <f>D10+E10</f>
        <v>1718613</v>
      </c>
      <c r="D10" s="1421">
        <v>1568541</v>
      </c>
      <c r="E10" s="1421">
        <v>150072</v>
      </c>
      <c r="F10" s="1423">
        <f t="shared" si="1"/>
        <v>3141599</v>
      </c>
      <c r="G10" s="1514">
        <f>B10/F10</f>
        <v>0.45294959668627344</v>
      </c>
      <c r="H10" s="1514">
        <f>C10/F10</f>
        <v>0.54705040331372656</v>
      </c>
      <c r="I10" s="1424">
        <f t="shared" si="4"/>
        <v>1.2077511655068989</v>
      </c>
      <c r="J10" s="1632"/>
      <c r="K10" s="1523"/>
      <c r="L10" s="1519"/>
      <c r="M10" s="47"/>
      <c r="N10" s="1513"/>
      <c r="O10" s="1513"/>
      <c r="P10" s="1513"/>
      <c r="Q10" s="1313"/>
      <c r="R10" s="24"/>
      <c r="S10" s="24"/>
      <c r="T10" s="24"/>
    </row>
    <row r="11" spans="1:31" ht="18.75" customHeight="1">
      <c r="A11" s="417" t="s">
        <v>949</v>
      </c>
      <c r="B11" s="1624">
        <v>1485480</v>
      </c>
      <c r="C11" s="1625">
        <f>D11+E11</f>
        <v>1799501</v>
      </c>
      <c r="D11" s="1624">
        <v>1628761</v>
      </c>
      <c r="E11" s="1624">
        <v>170740</v>
      </c>
      <c r="F11" s="1425">
        <f>+B11+D11+E11</f>
        <v>3284981</v>
      </c>
      <c r="G11" s="1515">
        <f>B11/F11</f>
        <v>0.45220352872665015</v>
      </c>
      <c r="H11" s="1515">
        <f>C11/F11</f>
        <v>0.54779647127334985</v>
      </c>
      <c r="I11" s="1426">
        <f>+C11/B11</f>
        <v>1.211393623609877</v>
      </c>
      <c r="J11" s="1526"/>
      <c r="K11" s="1523"/>
      <c r="L11" s="1513"/>
      <c r="M11" s="47"/>
      <c r="N11" s="1513"/>
      <c r="O11" s="1513"/>
      <c r="P11" s="1513"/>
      <c r="Q11" s="1313"/>
      <c r="R11" s="24"/>
      <c r="S11" s="24"/>
      <c r="T11" s="24"/>
    </row>
    <row r="12" spans="1:31" s="47" customFormat="1" ht="23.25" customHeight="1">
      <c r="A12" s="1510" t="s">
        <v>921</v>
      </c>
      <c r="B12" s="1511"/>
      <c r="C12" s="1511"/>
      <c r="D12" s="1511"/>
      <c r="E12" s="1511"/>
      <c r="F12" s="1511"/>
      <c r="G12" s="1511"/>
      <c r="H12" s="1511"/>
      <c r="I12" s="1512"/>
      <c r="J12" s="1513"/>
      <c r="K12" s="1513"/>
      <c r="L12" s="1513"/>
      <c r="N12" s="1513"/>
      <c r="O12" s="1513"/>
      <c r="P12" s="1513"/>
      <c r="Q12" s="1313"/>
      <c r="R12" s="24"/>
      <c r="S12" s="24"/>
      <c r="T12" s="24"/>
    </row>
    <row r="13" spans="1:31" ht="18" customHeight="1">
      <c r="A13" s="31"/>
      <c r="B13" s="31"/>
      <c r="C13" s="31"/>
      <c r="D13" s="31"/>
      <c r="E13" s="31"/>
      <c r="F13" s="31"/>
      <c r="G13" s="31"/>
      <c r="H13" s="31"/>
      <c r="I13" s="31"/>
      <c r="J13" s="1513"/>
      <c r="K13" s="1513"/>
      <c r="L13" s="1513"/>
      <c r="M13" s="47"/>
      <c r="N13" s="1513"/>
      <c r="O13" s="1513"/>
      <c r="P13" s="1513"/>
      <c r="Q13" s="62"/>
      <c r="R13" s="24"/>
      <c r="S13" s="24"/>
      <c r="T13" s="24"/>
    </row>
    <row r="14" spans="1:31" ht="25.5" customHeight="1">
      <c r="A14" s="31"/>
      <c r="B14" s="31"/>
      <c r="C14" s="31"/>
      <c r="D14" s="31"/>
      <c r="E14" s="31"/>
      <c r="F14" s="31"/>
      <c r="G14" s="31"/>
      <c r="H14" s="31"/>
      <c r="I14" s="31"/>
      <c r="J14" s="1513"/>
      <c r="K14" s="1513"/>
      <c r="L14" s="1513"/>
      <c r="M14" s="1513"/>
      <c r="N14" s="1513"/>
      <c r="O14" s="1513"/>
      <c r="P14" s="1513"/>
      <c r="Q14" s="62"/>
      <c r="R14" s="24"/>
      <c r="S14" s="24"/>
      <c r="T14" s="24"/>
    </row>
    <row r="15" spans="1:31" ht="25.5" customHeight="1">
      <c r="A15" s="31"/>
      <c r="B15" s="31"/>
      <c r="C15" s="31"/>
      <c r="D15" s="31"/>
      <c r="E15" s="31"/>
      <c r="F15" s="31"/>
      <c r="G15" s="31"/>
      <c r="H15" s="31"/>
      <c r="I15" s="31"/>
      <c r="J15" s="31"/>
      <c r="K15" s="31"/>
      <c r="L15" s="31"/>
      <c r="M15" s="31"/>
      <c r="N15" s="31"/>
      <c r="O15" s="31"/>
      <c r="P15" s="31"/>
      <c r="Q15" s="1301"/>
      <c r="R15" s="31"/>
      <c r="S15" s="31"/>
      <c r="T15" s="31"/>
    </row>
    <row r="16" spans="1:31" ht="25.5" customHeight="1">
      <c r="A16" s="31"/>
      <c r="B16" s="31"/>
      <c r="C16" s="31"/>
      <c r="D16" s="31"/>
      <c r="E16" s="31"/>
      <c r="F16" s="31"/>
      <c r="G16" s="31"/>
      <c r="H16" s="31"/>
      <c r="I16" s="31"/>
      <c r="J16" s="31"/>
      <c r="K16" s="31"/>
      <c r="L16" s="31"/>
      <c r="M16" s="31"/>
      <c r="N16" s="31"/>
      <c r="O16" s="31"/>
      <c r="P16" s="31"/>
      <c r="Q16" s="1301"/>
      <c r="R16" s="31"/>
      <c r="S16" s="31"/>
      <c r="T16" s="31"/>
      <c r="AE16" s="77" t="s">
        <v>33</v>
      </c>
    </row>
    <row r="17" spans="1:21" ht="25.5" customHeight="1">
      <c r="A17" s="31"/>
      <c r="B17" s="31"/>
      <c r="C17" s="31"/>
      <c r="D17" s="31"/>
      <c r="E17" s="31"/>
      <c r="F17" s="31"/>
      <c r="G17" s="31"/>
      <c r="H17" s="31"/>
      <c r="I17" s="31"/>
      <c r="J17" s="31"/>
      <c r="K17" s="31"/>
      <c r="L17" s="31"/>
      <c r="M17" s="31"/>
      <c r="N17" s="31"/>
      <c r="O17" s="31"/>
      <c r="P17" s="31"/>
      <c r="Q17" s="1301"/>
      <c r="R17" s="31"/>
      <c r="S17" s="31"/>
      <c r="T17" s="31"/>
    </row>
    <row r="18" spans="1:21" ht="25.5" customHeight="1">
      <c r="A18" s="31"/>
      <c r="B18" s="31"/>
      <c r="C18" s="31"/>
      <c r="D18" s="31"/>
      <c r="E18" s="31"/>
      <c r="F18" s="31"/>
      <c r="G18" s="31"/>
      <c r="H18" s="31"/>
      <c r="I18" s="31"/>
      <c r="J18" s="31"/>
      <c r="K18" s="31"/>
      <c r="L18" s="31"/>
      <c r="M18" s="31"/>
      <c r="N18" s="31"/>
      <c r="O18" s="31"/>
      <c r="P18" s="31"/>
      <c r="Q18" s="1301"/>
      <c r="R18" s="31"/>
      <c r="S18" s="31"/>
      <c r="T18" s="31"/>
    </row>
    <row r="19" spans="1:21" ht="25.5" customHeight="1">
      <c r="A19" s="31"/>
      <c r="B19" s="31"/>
      <c r="C19" s="31"/>
      <c r="D19" s="31"/>
      <c r="E19" s="31"/>
      <c r="F19" s="31"/>
      <c r="G19" s="31"/>
      <c r="H19" s="31"/>
      <c r="I19" s="31"/>
      <c r="J19" s="31"/>
      <c r="K19" s="31"/>
      <c r="L19" s="31"/>
      <c r="M19" s="31"/>
      <c r="N19" s="31"/>
      <c r="O19" s="31"/>
      <c r="P19" s="31"/>
      <c r="Q19" s="1301"/>
      <c r="R19" s="31"/>
      <c r="S19" s="31"/>
      <c r="T19" s="31"/>
    </row>
    <row r="20" spans="1:21" ht="25.5" customHeight="1">
      <c r="A20" s="31"/>
      <c r="B20" s="31"/>
      <c r="C20" s="31"/>
      <c r="D20" s="31"/>
      <c r="E20" s="31"/>
      <c r="F20" s="31"/>
      <c r="G20" s="31"/>
      <c r="H20" s="31"/>
      <c r="I20" s="31"/>
      <c r="J20" s="31"/>
      <c r="K20" s="31"/>
      <c r="L20" s="31"/>
      <c r="M20" s="31"/>
      <c r="N20" s="31"/>
      <c r="O20" s="31"/>
      <c r="P20" s="31"/>
      <c r="Q20" s="1301"/>
      <c r="R20" s="31"/>
      <c r="S20" s="31"/>
      <c r="T20" s="31"/>
    </row>
    <row r="21" spans="1:21" ht="25.5" customHeight="1">
      <c r="A21" s="31"/>
      <c r="B21" s="31"/>
      <c r="C21" s="31"/>
      <c r="D21" s="31"/>
      <c r="E21" s="31"/>
      <c r="F21" s="31"/>
      <c r="G21" s="31"/>
      <c r="H21" s="31"/>
      <c r="I21" s="31"/>
      <c r="J21" s="31"/>
      <c r="K21" s="31"/>
      <c r="L21" s="31"/>
      <c r="M21" s="31"/>
      <c r="N21" s="31"/>
      <c r="O21" s="31"/>
      <c r="P21" s="31"/>
      <c r="Q21" s="1301"/>
      <c r="R21" s="31"/>
      <c r="S21" s="31"/>
      <c r="T21" s="31"/>
    </row>
    <row r="22" spans="1:21" ht="25.5" customHeight="1">
      <c r="A22" s="31"/>
      <c r="B22" s="31"/>
      <c r="C22" s="31"/>
      <c r="D22" s="31"/>
      <c r="E22" s="31"/>
      <c r="F22" s="31"/>
      <c r="G22" s="31"/>
      <c r="H22" s="31"/>
      <c r="I22" s="31"/>
      <c r="J22" s="31"/>
      <c r="K22" s="31"/>
      <c r="L22" s="31"/>
      <c r="M22" s="31"/>
      <c r="N22" s="31"/>
      <c r="O22" s="31"/>
      <c r="P22" s="31"/>
      <c r="Q22" s="1301"/>
      <c r="R22" s="31"/>
      <c r="S22" s="31"/>
      <c r="T22" s="31"/>
    </row>
    <row r="23" spans="1:21" ht="25.5" customHeight="1">
      <c r="A23" s="31"/>
      <c r="B23" s="31"/>
      <c r="C23" s="31"/>
      <c r="D23" s="31"/>
      <c r="E23" s="31"/>
      <c r="F23" s="31"/>
      <c r="G23" s="31"/>
      <c r="H23" s="31"/>
      <c r="I23" s="31"/>
      <c r="J23" s="31"/>
      <c r="K23" s="31"/>
      <c r="L23" s="31"/>
      <c r="M23" s="31"/>
      <c r="N23" s="31"/>
      <c r="O23" s="31"/>
      <c r="P23" s="31"/>
      <c r="Q23" s="1301"/>
      <c r="R23" s="31"/>
      <c r="S23" s="31"/>
      <c r="T23" s="31"/>
    </row>
    <row r="24" spans="1:21" ht="25.5" customHeight="1">
      <c r="A24" s="31"/>
      <c r="B24" s="31"/>
      <c r="C24" s="31"/>
      <c r="D24" s="31"/>
      <c r="E24" s="31"/>
      <c r="F24" s="31"/>
      <c r="G24" s="31"/>
      <c r="H24" s="31"/>
      <c r="I24" s="31"/>
      <c r="J24" s="31"/>
      <c r="K24" s="31"/>
      <c r="L24" s="31"/>
      <c r="M24" s="31"/>
      <c r="N24" s="31"/>
      <c r="O24" s="31"/>
      <c r="P24" s="31"/>
      <c r="Q24" s="1301"/>
      <c r="R24" s="31"/>
      <c r="S24" s="31"/>
      <c r="T24" s="31"/>
    </row>
    <row r="25" spans="1:21" ht="25.5" customHeight="1">
      <c r="A25" s="31"/>
      <c r="B25" s="31"/>
      <c r="C25" s="31"/>
      <c r="D25" s="31"/>
      <c r="E25" s="31"/>
      <c r="F25" s="31"/>
      <c r="G25" s="31"/>
      <c r="H25" s="31"/>
      <c r="I25" s="31"/>
      <c r="J25" s="31"/>
      <c r="K25" s="31"/>
      <c r="L25" s="31"/>
      <c r="M25" s="31"/>
      <c r="N25" s="31"/>
      <c r="O25" s="31"/>
      <c r="P25" s="31"/>
      <c r="Q25" s="1301"/>
      <c r="R25" s="31"/>
      <c r="S25" s="31"/>
      <c r="T25" s="31"/>
    </row>
    <row r="26" spans="1:21" ht="25.5" customHeight="1">
      <c r="A26" s="31"/>
      <c r="B26" s="31"/>
      <c r="C26" s="31"/>
      <c r="D26" s="31"/>
      <c r="E26" s="31"/>
      <c r="F26" s="31"/>
      <c r="G26" s="31"/>
      <c r="H26" s="31"/>
      <c r="I26" s="31"/>
      <c r="J26" s="31"/>
      <c r="K26" s="31"/>
      <c r="L26" s="31"/>
      <c r="M26" s="31"/>
      <c r="N26" s="31"/>
      <c r="O26" s="31"/>
      <c r="P26" s="31"/>
      <c r="Q26" s="1301"/>
      <c r="R26" s="31"/>
      <c r="S26" s="31"/>
      <c r="T26" s="31"/>
    </row>
    <row r="27" spans="1:21" ht="25.5" customHeight="1">
      <c r="A27" s="31"/>
      <c r="B27" s="31"/>
      <c r="C27" s="31"/>
      <c r="D27" s="31"/>
      <c r="E27" s="31"/>
      <c r="F27" s="31"/>
      <c r="G27" s="31"/>
      <c r="H27" s="31"/>
      <c r="Q27" s="1301"/>
      <c r="R27" s="31"/>
      <c r="S27" s="31"/>
      <c r="T27" s="31"/>
    </row>
    <row r="28" spans="1:21" ht="25.5" customHeight="1">
      <c r="A28" s="31"/>
      <c r="B28" s="31"/>
      <c r="C28" s="31"/>
      <c r="D28" s="31"/>
      <c r="E28" s="31"/>
      <c r="F28" s="31"/>
      <c r="G28" s="31"/>
      <c r="H28" s="31"/>
      <c r="Q28" s="1301"/>
      <c r="R28" s="31"/>
      <c r="S28" s="31"/>
      <c r="T28" s="31"/>
      <c r="U28" s="77" t="s">
        <v>33</v>
      </c>
    </row>
    <row r="29" spans="1:21" ht="25.5" customHeight="1">
      <c r="A29" s="31"/>
      <c r="B29" s="31"/>
      <c r="C29" s="31"/>
      <c r="D29" s="31"/>
      <c r="E29" s="31"/>
      <c r="F29" s="31"/>
      <c r="G29" s="31"/>
      <c r="H29" s="31"/>
      <c r="Q29" s="1301"/>
      <c r="R29" s="31"/>
      <c r="S29" s="31"/>
      <c r="T29" s="31"/>
    </row>
    <row r="30" spans="1:21" ht="25.5" customHeight="1">
      <c r="A30" s="31"/>
      <c r="B30" s="31"/>
      <c r="C30" s="31"/>
      <c r="D30" s="31"/>
      <c r="E30" s="31"/>
      <c r="F30" s="31"/>
      <c r="G30" s="31"/>
      <c r="H30" s="31"/>
      <c r="Q30" s="1301"/>
      <c r="R30" s="31"/>
      <c r="S30" s="31"/>
      <c r="T30" s="31"/>
    </row>
    <row r="31" spans="1:21" ht="25.5" customHeight="1">
      <c r="A31" s="31"/>
      <c r="B31" s="31"/>
      <c r="C31" s="31"/>
      <c r="D31" s="31"/>
      <c r="E31" s="31"/>
      <c r="F31" s="31"/>
      <c r="G31" s="31"/>
      <c r="H31" s="31"/>
      <c r="Q31" s="1301"/>
      <c r="R31" s="31"/>
      <c r="S31" s="31"/>
      <c r="T31" s="31"/>
    </row>
    <row r="32" spans="1:21" ht="25.5" customHeight="1">
      <c r="A32" s="31"/>
      <c r="B32" s="31"/>
      <c r="C32" s="31"/>
      <c r="D32" s="31"/>
      <c r="E32" s="31"/>
      <c r="F32" s="31"/>
      <c r="G32" s="31"/>
      <c r="H32" s="31"/>
      <c r="I32" s="873"/>
      <c r="J32" s="873"/>
      <c r="K32" s="873"/>
      <c r="L32" s="873"/>
      <c r="M32" s="873"/>
      <c r="N32" s="873"/>
      <c r="O32" s="873"/>
      <c r="P32" s="873"/>
      <c r="Q32" s="1301"/>
      <c r="R32" s="31"/>
      <c r="S32" s="31"/>
      <c r="T32" s="31"/>
    </row>
    <row r="33" spans="1:28" ht="25.5" customHeight="1">
      <c r="A33" s="31"/>
      <c r="B33" s="31"/>
      <c r="C33" s="31"/>
      <c r="D33" s="31"/>
      <c r="E33" s="31"/>
      <c r="F33" s="31"/>
      <c r="G33" s="31"/>
      <c r="H33" s="31"/>
      <c r="Q33" s="1301" t="s">
        <v>180</v>
      </c>
      <c r="R33" s="31"/>
      <c r="S33" s="31"/>
      <c r="T33" s="31"/>
    </row>
    <row r="34" spans="1:28" ht="25.5" customHeight="1">
      <c r="A34" s="31"/>
      <c r="B34" s="31"/>
      <c r="C34" s="31"/>
      <c r="D34" s="31"/>
      <c r="E34" s="31"/>
      <c r="F34" s="31"/>
      <c r="G34" s="31"/>
      <c r="H34" s="31"/>
      <c r="Q34" s="1301"/>
      <c r="R34" s="31"/>
      <c r="S34" s="31"/>
      <c r="T34" s="31"/>
    </row>
    <row r="35" spans="1:28" ht="25.5" customHeight="1">
      <c r="A35" s="31"/>
      <c r="B35" s="31"/>
      <c r="C35" s="31"/>
      <c r="D35" s="31"/>
      <c r="E35" s="31"/>
      <c r="F35" s="31"/>
      <c r="G35" s="31"/>
      <c r="H35" s="31"/>
      <c r="Q35" s="1301"/>
      <c r="R35" s="31"/>
      <c r="S35" s="31"/>
      <c r="T35" s="31"/>
    </row>
    <row r="36" spans="1:28">
      <c r="Q36" s="1315"/>
      <c r="R36" s="95"/>
      <c r="S36" s="95"/>
      <c r="T36" s="95"/>
      <c r="U36" s="96"/>
      <c r="V36" s="96"/>
      <c r="W36" s="96"/>
      <c r="X36" s="96"/>
      <c r="Y36" s="96"/>
      <c r="Z36" s="96"/>
    </row>
    <row r="37" spans="1:28">
      <c r="Q37" s="1315"/>
      <c r="R37" s="95"/>
      <c r="S37" s="95"/>
      <c r="T37" s="95"/>
      <c r="U37" s="96"/>
      <c r="V37" s="96"/>
      <c r="W37" s="96"/>
      <c r="X37" s="96"/>
      <c r="Y37" s="96"/>
      <c r="Z37" s="96"/>
    </row>
    <row r="38" spans="1:28">
      <c r="Q38" s="1315"/>
      <c r="R38" s="95"/>
      <c r="S38" s="95"/>
      <c r="T38" s="95"/>
      <c r="U38" s="96"/>
      <c r="V38" s="96"/>
      <c r="W38" s="96"/>
      <c r="X38" s="96"/>
      <c r="Y38" s="96"/>
      <c r="Z38" s="96"/>
    </row>
    <row r="39" spans="1:28">
      <c r="Q39" s="1315"/>
      <c r="R39" s="95"/>
      <c r="S39" s="95"/>
      <c r="T39" s="95"/>
      <c r="U39" s="96"/>
      <c r="V39" s="96"/>
      <c r="W39" s="96"/>
      <c r="X39" s="96"/>
      <c r="Y39" s="96"/>
      <c r="Z39" s="96"/>
    </row>
    <row r="40" spans="1:28" ht="51" customHeight="1">
      <c r="Q40" s="1315"/>
      <c r="R40" s="95"/>
      <c r="S40" s="95"/>
      <c r="T40" s="95"/>
      <c r="U40" s="96"/>
      <c r="V40" s="96"/>
      <c r="W40" s="96"/>
      <c r="X40" s="96"/>
      <c r="Y40" s="96"/>
      <c r="Z40" s="96"/>
    </row>
    <row r="41" spans="1:28" ht="78" customHeight="1">
      <c r="A41" s="873"/>
      <c r="B41" s="873"/>
      <c r="C41" s="873"/>
      <c r="D41" s="873"/>
      <c r="E41" s="873"/>
      <c r="F41" s="873"/>
      <c r="G41" s="873"/>
      <c r="H41" s="873"/>
      <c r="Q41" s="1316"/>
      <c r="R41" s="873"/>
      <c r="S41" s="873"/>
      <c r="T41" s="873"/>
      <c r="U41" s="873"/>
      <c r="V41" s="873"/>
      <c r="W41" s="873"/>
      <c r="X41" s="96"/>
      <c r="Y41" s="96"/>
      <c r="Z41" s="96"/>
    </row>
    <row r="42" spans="1:28">
      <c r="Q42" s="1317"/>
      <c r="R42" s="96"/>
      <c r="S42" s="96"/>
      <c r="T42" s="96"/>
      <c r="U42" s="96"/>
    </row>
    <row r="43" spans="1:28">
      <c r="Q43" s="1317"/>
      <c r="R43" s="96"/>
      <c r="S43" s="96"/>
      <c r="T43" s="96"/>
      <c r="U43" s="96"/>
    </row>
    <row r="44" spans="1:28">
      <c r="I44" s="96"/>
      <c r="J44" s="96"/>
      <c r="K44" s="96"/>
      <c r="L44" s="96"/>
      <c r="M44" s="96"/>
      <c r="N44" s="96"/>
      <c r="O44" s="96"/>
      <c r="P44" s="96"/>
      <c r="Q44" s="1317"/>
      <c r="R44" s="96"/>
      <c r="S44" s="96"/>
      <c r="T44" s="96"/>
      <c r="U44" s="96"/>
    </row>
    <row r="45" spans="1:28">
      <c r="Q45" s="1317"/>
      <c r="R45" s="96"/>
      <c r="S45" s="96"/>
      <c r="T45" s="96"/>
      <c r="U45" s="96"/>
    </row>
    <row r="46" spans="1:28">
      <c r="Q46" s="1317"/>
      <c r="R46" s="96"/>
      <c r="S46" s="96"/>
      <c r="T46" s="96"/>
      <c r="U46" s="96"/>
    </row>
    <row r="47" spans="1:28">
      <c r="Q47" s="1317"/>
      <c r="R47" s="96"/>
      <c r="S47" s="96"/>
      <c r="T47" s="96"/>
      <c r="U47" s="96"/>
      <c r="V47" s="96"/>
      <c r="W47" s="96"/>
      <c r="X47" s="96"/>
      <c r="Y47" s="96"/>
      <c r="Z47" s="96"/>
      <c r="AA47" s="96"/>
      <c r="AB47" s="96"/>
    </row>
    <row r="48" spans="1:28">
      <c r="Q48" s="1317"/>
      <c r="R48" s="96"/>
      <c r="S48" s="96"/>
      <c r="T48" s="96"/>
      <c r="U48" s="96"/>
      <c r="V48" s="96"/>
      <c r="W48" s="96"/>
      <c r="X48" s="96"/>
      <c r="Y48" s="96"/>
      <c r="Z48" s="96"/>
      <c r="AA48" s="96"/>
      <c r="AB48" s="96"/>
    </row>
    <row r="49" spans="2:28">
      <c r="Q49" s="1317"/>
      <c r="R49" s="96"/>
      <c r="S49" s="96"/>
      <c r="T49" s="96"/>
      <c r="U49" s="96"/>
      <c r="V49" s="96"/>
      <c r="W49" s="96"/>
      <c r="X49" s="96"/>
      <c r="Y49" s="96"/>
      <c r="Z49" s="96"/>
      <c r="AA49" s="96"/>
      <c r="AB49" s="96"/>
    </row>
    <row r="50" spans="2:28">
      <c r="Q50" s="1317"/>
      <c r="R50" s="96"/>
      <c r="S50" s="96"/>
      <c r="T50" s="96"/>
      <c r="U50" s="96"/>
      <c r="V50" s="96"/>
      <c r="W50" s="96"/>
      <c r="X50" s="96"/>
      <c r="Y50" s="96"/>
      <c r="Z50" s="96"/>
      <c r="AA50" s="96"/>
      <c r="AB50" s="96"/>
    </row>
    <row r="51" spans="2:28">
      <c r="Q51" s="1317"/>
      <c r="R51" s="96"/>
      <c r="S51" s="96"/>
      <c r="T51" s="96"/>
      <c r="U51" s="96"/>
      <c r="V51" s="96"/>
      <c r="W51" s="96"/>
      <c r="X51" s="96"/>
      <c r="Y51" s="96"/>
      <c r="Z51" s="96"/>
      <c r="AA51" s="96"/>
      <c r="AB51" s="96"/>
    </row>
    <row r="52" spans="2:28">
      <c r="Q52" s="1317"/>
      <c r="R52" s="96"/>
      <c r="S52" s="96"/>
      <c r="T52" s="96"/>
      <c r="U52" s="96"/>
      <c r="V52" s="96"/>
      <c r="W52" s="96"/>
      <c r="X52" s="96"/>
      <c r="Y52" s="96"/>
      <c r="Z52" s="96"/>
      <c r="AA52" s="96"/>
      <c r="AB52" s="96"/>
    </row>
    <row r="53" spans="2:28">
      <c r="B53" s="96"/>
      <c r="C53" s="96"/>
      <c r="D53" s="96"/>
      <c r="E53" s="96"/>
      <c r="F53" s="96"/>
      <c r="G53" s="96"/>
      <c r="H53" s="96"/>
      <c r="Q53" s="1317"/>
      <c r="R53" s="96"/>
      <c r="S53" s="96"/>
      <c r="T53" s="96"/>
      <c r="U53" s="96"/>
      <c r="V53" s="96"/>
      <c r="W53" s="96"/>
      <c r="X53" s="96"/>
      <c r="Y53" s="96"/>
      <c r="Z53" s="96"/>
      <c r="AA53" s="96"/>
      <c r="AB53" s="96"/>
    </row>
    <row r="72" spans="22:22">
      <c r="V72" s="96"/>
    </row>
    <row r="73" spans="22:22">
      <c r="V73" s="96"/>
    </row>
    <row r="74" spans="22:22">
      <c r="V74" s="96"/>
    </row>
    <row r="75" spans="22:22">
      <c r="V75" s="96"/>
    </row>
    <row r="76" spans="22:22">
      <c r="V76" s="96"/>
    </row>
    <row r="77" spans="22:22">
      <c r="V77" s="96"/>
    </row>
    <row r="78" spans="22:22">
      <c r="V78" s="96"/>
    </row>
    <row r="79" spans="22:22">
      <c r="V79" s="96"/>
    </row>
    <row r="89" spans="22:22">
      <c r="V89" s="96"/>
    </row>
    <row r="90" spans="22:22">
      <c r="V90" s="96"/>
    </row>
    <row r="91" spans="22:22">
      <c r="V91" s="96"/>
    </row>
    <row r="92" spans="22:22">
      <c r="V92" s="96"/>
    </row>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B89"/>
  <sheetViews>
    <sheetView showGridLines="0" view="pageBreakPreview" topLeftCell="C1" zoomScale="55" zoomScaleNormal="100" zoomScaleSheetLayoutView="55" zoomScalePageLayoutView="62" workbookViewId="0">
      <pane ySplit="1" topLeftCell="A7" activePane="bottomLeft" state="frozen"/>
      <selection activeCell="M22" sqref="M22"/>
      <selection pane="bottomLeft" activeCell="A38" sqref="A38:Z38"/>
    </sheetView>
  </sheetViews>
  <sheetFormatPr baseColWidth="10" defaultColWidth="11.42578125" defaultRowHeight="15"/>
  <cols>
    <col min="1" max="1" width="14.140625" style="77" customWidth="1"/>
    <col min="2" max="2" width="21.28515625" style="77" customWidth="1"/>
    <col min="3" max="3" width="25.5703125" style="77" customWidth="1"/>
    <col min="4" max="4" width="20.85546875" style="77" customWidth="1"/>
    <col min="5" max="5" width="22.42578125" style="77" customWidth="1"/>
    <col min="6" max="6" width="22.5703125" style="77" customWidth="1"/>
    <col min="7" max="7" width="22.42578125" style="77" customWidth="1"/>
    <col min="8" max="8" width="14.5703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7" width="11.140625" style="77" customWidth="1"/>
    <col min="18" max="18" width="13.7109375" style="77" customWidth="1"/>
    <col min="19" max="19" width="36.85546875" style="77" customWidth="1"/>
    <col min="20" max="27" width="11.42578125" style="77"/>
    <col min="28" max="28" width="18.7109375" style="77" bestFit="1" customWidth="1"/>
    <col min="29" max="16384" width="11.42578125" style="77"/>
  </cols>
  <sheetData>
    <row r="1" spans="1:19" ht="93" customHeight="1">
      <c r="A1" s="1849"/>
      <c r="B1" s="1849"/>
      <c r="C1" s="1849"/>
      <c r="D1" s="1849"/>
      <c r="E1" s="1849"/>
      <c r="F1" s="1849"/>
      <c r="G1" s="1849"/>
      <c r="H1" s="1849"/>
      <c r="I1" s="1849"/>
      <c r="J1" s="1849"/>
      <c r="K1" s="1849"/>
      <c r="L1" s="1849"/>
      <c r="M1" s="1849"/>
      <c r="N1" s="1849"/>
      <c r="O1" s="1849"/>
      <c r="P1" s="1849"/>
      <c r="Q1" s="1849"/>
      <c r="R1" s="1849"/>
    </row>
    <row r="2" spans="1:19" ht="5.25" customHeight="1">
      <c r="A2" s="1039"/>
      <c r="B2" s="1039"/>
      <c r="C2" s="1039"/>
      <c r="D2" s="1039"/>
      <c r="E2" s="1039"/>
      <c r="F2" s="1039"/>
      <c r="G2" s="1039"/>
      <c r="H2" s="1039"/>
      <c r="I2" s="1039"/>
      <c r="J2" s="1039"/>
      <c r="K2" s="1039"/>
      <c r="L2" s="1039"/>
      <c r="M2" s="1039"/>
      <c r="N2" s="1039"/>
      <c r="O2" s="1039"/>
      <c r="P2" s="1039"/>
      <c r="Q2" s="1039"/>
      <c r="R2" s="1039"/>
    </row>
    <row r="3" spans="1:19" s="50" customFormat="1" ht="69" customHeight="1">
      <c r="A3" s="1061" t="s">
        <v>48</v>
      </c>
      <c r="B3" s="328" t="s">
        <v>553</v>
      </c>
      <c r="C3" s="328" t="s">
        <v>585</v>
      </c>
      <c r="D3" s="328" t="s">
        <v>554</v>
      </c>
      <c r="E3" s="328" t="s">
        <v>555</v>
      </c>
      <c r="F3" s="330" t="s">
        <v>556</v>
      </c>
      <c r="G3" s="329" t="s">
        <v>563</v>
      </c>
      <c r="H3" s="77"/>
      <c r="I3" s="77"/>
      <c r="J3" s="77"/>
      <c r="K3" s="77"/>
      <c r="L3" s="77"/>
      <c r="M3" s="77"/>
      <c r="N3" s="77"/>
      <c r="O3" s="77"/>
      <c r="P3" s="77"/>
      <c r="Q3" s="77"/>
      <c r="R3" s="77"/>
      <c r="S3" s="224"/>
    </row>
    <row r="4" spans="1:19" ht="18.75">
      <c r="A4" s="1062" t="s">
        <v>567</v>
      </c>
      <c r="B4" s="379">
        <v>1374315</v>
      </c>
      <c r="C4" s="378">
        <f t="shared" ref="C4:C10" si="0">D4+E4</f>
        <v>1656102</v>
      </c>
      <c r="D4" s="269">
        <v>1514545</v>
      </c>
      <c r="E4" s="269">
        <v>141557</v>
      </c>
      <c r="F4" s="1079">
        <f t="shared" ref="F4:F9" si="1">+B4+D4+E4</f>
        <v>3030417</v>
      </c>
      <c r="G4" s="331">
        <f t="shared" ref="G4:G12" si="2">C4/B4</f>
        <v>1.2050381462765087</v>
      </c>
    </row>
    <row r="5" spans="1:19" ht="18.75">
      <c r="A5" s="1062" t="s">
        <v>568</v>
      </c>
      <c r="B5" s="379">
        <v>1375864</v>
      </c>
      <c r="C5" s="378">
        <f t="shared" si="0"/>
        <v>1661532</v>
      </c>
      <c r="D5" s="269">
        <v>1519919</v>
      </c>
      <c r="E5" s="269">
        <v>141613</v>
      </c>
      <c r="F5" s="1079">
        <f t="shared" si="1"/>
        <v>3037396</v>
      </c>
      <c r="G5" s="331">
        <f t="shared" si="2"/>
        <v>1.2076280795194874</v>
      </c>
    </row>
    <row r="6" spans="1:19" ht="18.75">
      <c r="A6" s="1062" t="s">
        <v>569</v>
      </c>
      <c r="B6" s="379">
        <v>1390935</v>
      </c>
      <c r="C6" s="378">
        <f t="shared" si="0"/>
        <v>1678476</v>
      </c>
      <c r="D6" s="269">
        <v>1535105</v>
      </c>
      <c r="E6" s="269">
        <v>143371</v>
      </c>
      <c r="F6" s="1079">
        <f t="shared" si="1"/>
        <v>3069411</v>
      </c>
      <c r="G6" s="331">
        <f t="shared" si="2"/>
        <v>1.206724972770115</v>
      </c>
    </row>
    <row r="7" spans="1:19" ht="18.75">
      <c r="A7" s="1062" t="s">
        <v>570</v>
      </c>
      <c r="B7" s="379">
        <v>1391699</v>
      </c>
      <c r="C7" s="378">
        <f t="shared" si="0"/>
        <v>1688073</v>
      </c>
      <c r="D7" s="269">
        <v>1542660</v>
      </c>
      <c r="E7" s="269">
        <v>145413</v>
      </c>
      <c r="F7" s="1079">
        <f t="shared" si="1"/>
        <v>3079772</v>
      </c>
      <c r="G7" s="331">
        <f t="shared" si="2"/>
        <v>1.2129584055172851</v>
      </c>
    </row>
    <row r="8" spans="1:19" ht="18.75">
      <c r="A8" s="1062" t="s">
        <v>547</v>
      </c>
      <c r="B8" s="379">
        <v>1400550</v>
      </c>
      <c r="C8" s="378">
        <f t="shared" si="0"/>
        <v>1701350</v>
      </c>
      <c r="D8" s="269">
        <v>1554245</v>
      </c>
      <c r="E8" s="269">
        <v>147105</v>
      </c>
      <c r="F8" s="1079">
        <f t="shared" si="1"/>
        <v>3101900</v>
      </c>
      <c r="G8" s="331">
        <f t="shared" si="2"/>
        <v>1.2147727678412052</v>
      </c>
    </row>
    <row r="9" spans="1:19" ht="18.75">
      <c r="A9" s="1062" t="s">
        <v>588</v>
      </c>
      <c r="B9" s="379">
        <v>1417590</v>
      </c>
      <c r="C9" s="378">
        <f t="shared" si="0"/>
        <v>1710872</v>
      </c>
      <c r="D9" s="269">
        <v>1561834</v>
      </c>
      <c r="E9" s="269">
        <v>149038</v>
      </c>
      <c r="F9" s="1079">
        <f t="shared" si="1"/>
        <v>3128462</v>
      </c>
      <c r="G9" s="331">
        <f t="shared" si="2"/>
        <v>1.2068877461043037</v>
      </c>
    </row>
    <row r="10" spans="1:19" ht="18.75">
      <c r="A10" s="1062" t="s">
        <v>586</v>
      </c>
      <c r="B10" s="379">
        <v>1422986</v>
      </c>
      <c r="C10" s="378">
        <f t="shared" si="0"/>
        <v>1718613</v>
      </c>
      <c r="D10" s="269">
        <v>1568541</v>
      </c>
      <c r="E10" s="269">
        <v>150072</v>
      </c>
      <c r="F10" s="1079">
        <f>+B10+C10</f>
        <v>3141599</v>
      </c>
      <c r="G10" s="331">
        <f t="shared" si="2"/>
        <v>1.2077511655068989</v>
      </c>
    </row>
    <row r="11" spans="1:19" ht="18.75">
      <c r="A11" s="1062" t="s">
        <v>587</v>
      </c>
      <c r="B11" s="379">
        <v>1426010</v>
      </c>
      <c r="C11" s="378">
        <f>D11+E11</f>
        <v>1729358</v>
      </c>
      <c r="D11" s="269">
        <v>1568240</v>
      </c>
      <c r="E11" s="269">
        <v>161118</v>
      </c>
      <c r="F11" s="1079">
        <f>+B11+C11</f>
        <v>3155368</v>
      </c>
      <c r="G11" s="331">
        <f>C11/B11</f>
        <v>1.2127250159536047</v>
      </c>
      <c r="S11" s="556"/>
    </row>
    <row r="12" spans="1:19" ht="18.75">
      <c r="A12" s="1062" t="s">
        <v>761</v>
      </c>
      <c r="B12" s="379">
        <v>1423951</v>
      </c>
      <c r="C12" s="378">
        <f>D12+E12</f>
        <v>1733404</v>
      </c>
      <c r="D12" s="269">
        <v>1568776</v>
      </c>
      <c r="E12" s="269">
        <v>164628</v>
      </c>
      <c r="F12" s="1079">
        <f>+B12+C12</f>
        <v>3157355</v>
      </c>
      <c r="G12" s="331">
        <f t="shared" si="2"/>
        <v>1.2173199780048611</v>
      </c>
    </row>
    <row r="13" spans="1:19" ht="18.75">
      <c r="A13" s="1062" t="s">
        <v>909</v>
      </c>
      <c r="B13" s="379">
        <v>1434238</v>
      </c>
      <c r="C13" s="378">
        <v>1761412</v>
      </c>
      <c r="D13" s="269">
        <v>1594179</v>
      </c>
      <c r="E13" s="269">
        <v>167233</v>
      </c>
      <c r="F13" s="1079">
        <v>3195650</v>
      </c>
      <c r="G13" s="331">
        <v>1.2281169513009695</v>
      </c>
    </row>
    <row r="14" spans="1:19" ht="18.75">
      <c r="A14" s="1062" t="s">
        <v>917</v>
      </c>
      <c r="B14" s="379">
        <v>1461443</v>
      </c>
      <c r="C14" s="378">
        <v>1778444</v>
      </c>
      <c r="D14" s="269">
        <v>1609914</v>
      </c>
      <c r="E14" s="269">
        <v>168530</v>
      </c>
      <c r="F14" s="1079">
        <v>3239887</v>
      </c>
      <c r="G14" s="331">
        <v>1.2169095886736603</v>
      </c>
    </row>
    <row r="15" spans="1:19" ht="18.75">
      <c r="A15" s="1062" t="s">
        <v>931</v>
      </c>
      <c r="B15" s="379">
        <v>1477288</v>
      </c>
      <c r="C15" s="378">
        <v>1792702</v>
      </c>
      <c r="D15" s="269">
        <v>1622890</v>
      </c>
      <c r="E15" s="269">
        <v>169812</v>
      </c>
      <c r="F15" s="1079">
        <v>3269990</v>
      </c>
      <c r="G15" s="331">
        <v>1.2135088080320153</v>
      </c>
    </row>
    <row r="16" spans="1:19" ht="18.75">
      <c r="A16" s="1341" t="s">
        <v>946</v>
      </c>
      <c r="B16" s="1626">
        <v>1485480</v>
      </c>
      <c r="C16" s="380">
        <f>+D16+E16</f>
        <v>1799501</v>
      </c>
      <c r="D16" s="420">
        <v>1628761</v>
      </c>
      <c r="E16" s="420">
        <v>170740</v>
      </c>
      <c r="F16" s="1186">
        <f>+B16+C16</f>
        <v>3284981</v>
      </c>
      <c r="G16" s="377">
        <f>C16/B16</f>
        <v>1.211393623609877</v>
      </c>
      <c r="H16" s="165"/>
      <c r="I16" s="165"/>
    </row>
    <row r="17" spans="1:18" ht="27" customHeight="1">
      <c r="A17" s="1850" t="s">
        <v>564</v>
      </c>
      <c r="B17" s="1850"/>
      <c r="C17" s="1850"/>
      <c r="D17" s="1850"/>
      <c r="E17" s="1850"/>
      <c r="F17" s="1850"/>
      <c r="G17" s="1850"/>
      <c r="H17" s="31"/>
      <c r="I17" s="31"/>
      <c r="J17" s="31"/>
      <c r="K17" s="31"/>
      <c r="L17" s="31"/>
      <c r="M17" s="31"/>
      <c r="N17" s="31"/>
      <c r="O17" s="31"/>
      <c r="P17" s="31"/>
      <c r="Q17" s="31"/>
      <c r="R17" s="31"/>
    </row>
    <row r="18" spans="1:18" ht="25.5" customHeight="1">
      <c r="A18" s="31"/>
      <c r="B18" s="31"/>
      <c r="C18" s="31"/>
      <c r="D18" s="31"/>
      <c r="E18" s="31"/>
      <c r="F18" s="31"/>
      <c r="G18" s="31"/>
      <c r="H18" s="31"/>
      <c r="I18" s="31"/>
      <c r="J18" s="31"/>
      <c r="K18" s="31"/>
      <c r="L18" s="31"/>
      <c r="M18" s="31"/>
      <c r="N18" s="31"/>
      <c r="O18" s="31"/>
      <c r="P18" s="31"/>
      <c r="Q18" s="31"/>
      <c r="R18" s="31"/>
    </row>
    <row r="19" spans="1:18" ht="25.5" customHeight="1">
      <c r="A19" s="31"/>
      <c r="B19" s="31"/>
      <c r="C19" s="31"/>
      <c r="D19" s="31"/>
      <c r="E19" s="31"/>
      <c r="F19" s="31"/>
      <c r="G19" s="31"/>
      <c r="H19" s="31"/>
      <c r="I19" s="31"/>
      <c r="J19" s="31"/>
      <c r="K19" s="31"/>
      <c r="L19" s="31"/>
      <c r="M19" s="31"/>
      <c r="N19" s="31"/>
      <c r="O19" s="31"/>
      <c r="P19" s="31"/>
      <c r="Q19" s="31"/>
      <c r="R19" s="31"/>
    </row>
    <row r="20" spans="1:18" ht="25.5" customHeight="1">
      <c r="A20" s="31"/>
      <c r="B20" s="31"/>
      <c r="C20" s="31"/>
      <c r="D20" s="31"/>
      <c r="E20" s="31"/>
      <c r="F20" s="31"/>
      <c r="G20" s="31"/>
      <c r="H20" s="31"/>
      <c r="I20" s="31"/>
      <c r="J20" s="31"/>
      <c r="K20" s="31"/>
      <c r="L20" s="31"/>
      <c r="M20" s="31"/>
      <c r="N20" s="31"/>
      <c r="O20" s="31"/>
      <c r="P20" s="31"/>
      <c r="Q20" s="31"/>
      <c r="R20" s="31"/>
    </row>
    <row r="21" spans="1:18" ht="25.5" customHeight="1">
      <c r="A21" s="31"/>
      <c r="B21" s="31"/>
      <c r="C21" s="31"/>
      <c r="D21" s="31"/>
      <c r="E21" s="31"/>
      <c r="F21" s="31"/>
      <c r="G21" s="31"/>
      <c r="H21" s="31"/>
      <c r="I21" s="31"/>
      <c r="J21" s="31"/>
      <c r="K21" s="31"/>
      <c r="L21" s="31"/>
      <c r="M21" s="31"/>
      <c r="N21" s="31"/>
      <c r="O21" s="31"/>
      <c r="P21" s="31"/>
      <c r="Q21" s="31"/>
      <c r="R21" s="31"/>
    </row>
    <row r="22" spans="1:18" ht="25.5" customHeight="1">
      <c r="A22" s="31"/>
      <c r="B22" s="31"/>
      <c r="C22" s="31"/>
      <c r="D22" s="31"/>
      <c r="E22" s="31"/>
      <c r="F22" s="31"/>
      <c r="G22" s="31"/>
      <c r="H22" s="31"/>
      <c r="I22" s="31"/>
      <c r="J22" s="31"/>
      <c r="K22" s="31"/>
      <c r="L22" s="31"/>
      <c r="M22" s="31"/>
      <c r="N22" s="31"/>
      <c r="O22" s="31"/>
      <c r="P22" s="31"/>
      <c r="Q22" s="31"/>
      <c r="R22" s="31"/>
    </row>
    <row r="23" spans="1:18" ht="25.5" customHeight="1">
      <c r="A23" s="31"/>
      <c r="B23" s="31"/>
      <c r="C23" s="31"/>
      <c r="D23" s="31"/>
      <c r="E23" s="31"/>
      <c r="F23" s="31"/>
      <c r="G23" s="31"/>
      <c r="H23" s="31"/>
      <c r="I23" s="31"/>
      <c r="J23" s="31"/>
      <c r="K23" s="31"/>
      <c r="L23" s="31"/>
      <c r="M23" s="31"/>
      <c r="N23" s="31"/>
      <c r="O23" s="31"/>
      <c r="P23" s="31"/>
      <c r="Q23" s="31"/>
      <c r="R23" s="31"/>
    </row>
    <row r="24" spans="1:18" ht="25.5" customHeight="1">
      <c r="A24" s="31"/>
      <c r="B24" s="31"/>
      <c r="C24" s="31"/>
      <c r="D24" s="31"/>
      <c r="E24" s="31"/>
      <c r="F24" s="31"/>
      <c r="G24" s="31"/>
      <c r="H24" s="31"/>
      <c r="I24" s="31"/>
      <c r="J24" s="31"/>
      <c r="K24" s="31"/>
      <c r="L24" s="31"/>
      <c r="M24" s="31"/>
      <c r="N24" s="31"/>
      <c r="O24" s="31"/>
      <c r="P24" s="31"/>
      <c r="Q24" s="31"/>
      <c r="R24" s="31"/>
    </row>
    <row r="25" spans="1:18" ht="25.5" customHeight="1">
      <c r="A25" s="31"/>
      <c r="B25" s="31"/>
      <c r="C25" s="31"/>
      <c r="D25" s="31"/>
      <c r="E25" s="31"/>
      <c r="F25" s="31"/>
      <c r="G25" s="31"/>
      <c r="H25" s="31"/>
      <c r="I25" s="31"/>
      <c r="J25" s="31"/>
      <c r="K25" s="31"/>
      <c r="L25" s="31"/>
      <c r="M25" s="31"/>
      <c r="N25" s="31"/>
      <c r="O25" s="31"/>
      <c r="P25" s="31"/>
      <c r="Q25" s="31"/>
      <c r="R25" s="31"/>
    </row>
    <row r="26" spans="1:18" ht="25.5" customHeight="1">
      <c r="A26" s="31"/>
      <c r="B26" s="31"/>
      <c r="C26" s="31"/>
      <c r="D26" s="31"/>
      <c r="E26" s="31"/>
      <c r="F26" s="31"/>
      <c r="G26" s="31"/>
      <c r="H26" s="31"/>
      <c r="I26" s="31"/>
      <c r="J26" s="31"/>
      <c r="K26" s="31"/>
      <c r="L26" s="31"/>
      <c r="M26" s="31"/>
      <c r="N26" s="31"/>
      <c r="O26" s="31"/>
      <c r="P26" s="31"/>
      <c r="Q26" s="31"/>
      <c r="R26" s="31"/>
    </row>
    <row r="27" spans="1:18" ht="25.5" customHeight="1">
      <c r="A27" s="31"/>
      <c r="B27" s="31"/>
      <c r="C27" s="31"/>
      <c r="D27" s="31"/>
      <c r="E27" s="31"/>
      <c r="F27" s="31"/>
      <c r="G27" s="31"/>
      <c r="H27" s="31"/>
      <c r="I27" s="31"/>
      <c r="J27" s="31"/>
      <c r="K27" s="31"/>
      <c r="L27" s="31"/>
      <c r="M27" s="31"/>
      <c r="N27" s="31"/>
      <c r="O27" s="31"/>
      <c r="P27" s="31"/>
      <c r="Q27" s="31"/>
      <c r="R27" s="31"/>
    </row>
    <row r="28" spans="1:18" ht="25.5" customHeight="1">
      <c r="A28" s="31"/>
      <c r="B28" s="31"/>
      <c r="C28" s="31"/>
      <c r="D28" s="31"/>
      <c r="E28" s="31"/>
      <c r="F28" s="31"/>
      <c r="G28" s="31"/>
      <c r="H28" s="31"/>
      <c r="I28" s="31"/>
      <c r="J28" s="31"/>
      <c r="K28" s="31"/>
      <c r="L28" s="31"/>
      <c r="M28" s="31"/>
      <c r="N28" s="31"/>
      <c r="O28" s="31"/>
      <c r="P28" s="31"/>
      <c r="Q28" s="31"/>
      <c r="R28" s="31"/>
    </row>
    <row r="29" spans="1:18" ht="25.5" customHeight="1">
      <c r="A29" s="31"/>
      <c r="B29" s="31"/>
      <c r="C29" s="31"/>
      <c r="D29" s="31"/>
      <c r="E29" s="31"/>
      <c r="F29" s="31"/>
      <c r="G29" s="31"/>
      <c r="H29" s="31"/>
      <c r="I29" s="31"/>
      <c r="J29" s="31"/>
      <c r="K29" s="31"/>
      <c r="L29" s="31"/>
      <c r="M29" s="31"/>
      <c r="N29" s="31"/>
      <c r="O29" s="31"/>
      <c r="P29" s="31"/>
      <c r="Q29" s="31"/>
      <c r="R29" s="31"/>
    </row>
    <row r="30" spans="1:18" ht="25.5" customHeight="1">
      <c r="A30" s="31"/>
      <c r="B30" s="31"/>
      <c r="C30" s="31"/>
      <c r="D30" s="31"/>
      <c r="E30" s="31"/>
      <c r="F30" s="31"/>
      <c r="G30" s="31"/>
      <c r="H30" s="31"/>
      <c r="I30" s="31"/>
      <c r="J30" s="31"/>
      <c r="K30" s="31"/>
      <c r="L30" s="31"/>
      <c r="M30" s="31"/>
      <c r="N30" s="31"/>
      <c r="O30" s="31"/>
      <c r="P30" s="31"/>
      <c r="Q30" s="31"/>
      <c r="R30" s="31"/>
    </row>
    <row r="31" spans="1:18" ht="25.5" customHeight="1">
      <c r="A31" s="31"/>
      <c r="B31" s="31"/>
      <c r="C31" s="31"/>
      <c r="D31" s="31"/>
      <c r="E31" s="31"/>
      <c r="F31" s="31"/>
      <c r="G31" s="31"/>
      <c r="H31" s="31"/>
      <c r="I31" s="31"/>
      <c r="J31" s="31"/>
      <c r="K31" s="31"/>
      <c r="L31" s="31"/>
      <c r="M31" s="31"/>
      <c r="N31" s="31"/>
      <c r="O31" s="31"/>
      <c r="P31" s="31"/>
      <c r="Q31" s="31"/>
      <c r="R31" s="31"/>
    </row>
    <row r="32" spans="1:18" ht="25.5" customHeight="1">
      <c r="A32" s="31"/>
      <c r="B32" s="31"/>
      <c r="C32" s="31"/>
      <c r="D32" s="31"/>
      <c r="E32" s="31"/>
      <c r="F32" s="31"/>
      <c r="G32" s="31"/>
      <c r="H32" s="31"/>
      <c r="I32" s="31"/>
      <c r="J32" s="31"/>
      <c r="K32" s="31"/>
      <c r="L32" s="31"/>
      <c r="M32" s="31"/>
      <c r="N32" s="31"/>
      <c r="O32" s="31"/>
      <c r="P32" s="31"/>
      <c r="Q32" s="31"/>
      <c r="R32" s="31"/>
    </row>
    <row r="33" spans="1:28">
      <c r="O33" s="95"/>
      <c r="P33" s="95"/>
      <c r="Q33" s="95"/>
      <c r="R33" s="95"/>
      <c r="S33" s="96"/>
      <c r="T33" s="96"/>
      <c r="U33" s="96"/>
      <c r="V33" s="96"/>
      <c r="W33" s="96"/>
      <c r="X33" s="96"/>
      <c r="Y33" s="96"/>
      <c r="Z33" s="96"/>
      <c r="AA33" s="96"/>
      <c r="AB33" s="96"/>
    </row>
    <row r="34" spans="1:28">
      <c r="O34" s="95"/>
      <c r="P34" s="95"/>
      <c r="Q34" s="95"/>
      <c r="R34" s="95"/>
      <c r="S34" s="96"/>
      <c r="T34" s="96"/>
      <c r="U34" s="96"/>
      <c r="V34" s="96"/>
      <c r="W34" s="96"/>
      <c r="X34" s="96"/>
      <c r="Y34" s="96"/>
      <c r="Z34" s="96"/>
      <c r="AA34" s="96"/>
      <c r="AB34" s="96"/>
    </row>
    <row r="35" spans="1:28">
      <c r="O35" s="95"/>
      <c r="P35" s="95"/>
      <c r="Q35" s="95"/>
      <c r="R35" s="95"/>
      <c r="S35" s="96"/>
      <c r="T35" s="96"/>
      <c r="U35" s="96"/>
      <c r="V35" s="96"/>
      <c r="W35" s="96"/>
      <c r="X35" s="96"/>
      <c r="Y35" s="96"/>
      <c r="Z35" s="96"/>
      <c r="AA35" s="96"/>
      <c r="AB35" s="96"/>
    </row>
    <row r="36" spans="1:28">
      <c r="O36" s="95"/>
      <c r="P36" s="95"/>
      <c r="Q36" s="95"/>
      <c r="R36" s="95"/>
      <c r="S36" s="96"/>
      <c r="T36" s="96"/>
      <c r="U36" s="96"/>
      <c r="V36" s="96"/>
      <c r="W36" s="96"/>
      <c r="X36" s="96"/>
      <c r="Y36" s="96"/>
      <c r="Z36" s="96"/>
      <c r="AA36" s="96"/>
      <c r="AB36" s="96"/>
    </row>
    <row r="37" spans="1:28" ht="51" customHeight="1">
      <c r="O37" s="95"/>
      <c r="P37" s="95"/>
      <c r="Q37" s="95"/>
      <c r="R37" s="95"/>
      <c r="S37" s="96"/>
      <c r="T37" s="96"/>
      <c r="U37" s="96"/>
      <c r="V37" s="96"/>
      <c r="W37" s="96"/>
      <c r="X37" s="96"/>
      <c r="Y37" s="96"/>
      <c r="Z37" s="96"/>
      <c r="AA37" s="96"/>
      <c r="AB37" s="96"/>
    </row>
    <row r="38" spans="1:28" ht="78" customHeight="1">
      <c r="A38" s="1834"/>
      <c r="B38" s="1834"/>
      <c r="C38" s="1834"/>
      <c r="D38" s="1834"/>
      <c r="E38" s="1834"/>
      <c r="F38" s="1834"/>
      <c r="G38" s="1834"/>
      <c r="H38" s="1834"/>
      <c r="I38" s="1834"/>
      <c r="J38" s="1834"/>
      <c r="K38" s="1834"/>
      <c r="L38" s="1834"/>
      <c r="M38" s="1834"/>
      <c r="N38" s="1834"/>
      <c r="O38" s="1834"/>
      <c r="P38" s="1834"/>
      <c r="Q38" s="1834"/>
      <c r="R38" s="1834"/>
      <c r="S38" s="1834"/>
      <c r="T38" s="1834"/>
      <c r="U38" s="1834"/>
      <c r="V38" s="1834"/>
      <c r="W38" s="1834"/>
      <c r="X38" s="1834"/>
      <c r="Y38" s="1834"/>
      <c r="Z38" s="1834"/>
      <c r="AA38" s="96"/>
      <c r="AB38" s="96"/>
    </row>
    <row r="39" spans="1:28">
      <c r="O39" s="96"/>
      <c r="P39" s="96"/>
      <c r="Q39" s="96"/>
      <c r="R39" s="96"/>
      <c r="S39" s="96"/>
    </row>
    <row r="40" spans="1:28">
      <c r="O40" s="96"/>
      <c r="P40" s="96"/>
      <c r="Q40" s="96"/>
      <c r="R40" s="96"/>
      <c r="S40" s="96"/>
    </row>
    <row r="41" spans="1:28">
      <c r="O41" s="96"/>
      <c r="P41" s="96"/>
      <c r="Q41" s="96"/>
      <c r="R41" s="96"/>
      <c r="S41" s="96"/>
    </row>
    <row r="42" spans="1:28">
      <c r="O42" s="96"/>
      <c r="P42" s="96"/>
      <c r="Q42" s="96"/>
      <c r="R42" s="96"/>
      <c r="S42" s="96"/>
    </row>
    <row r="43" spans="1:28">
      <c r="O43" s="96"/>
      <c r="P43" s="96"/>
      <c r="Q43" s="96"/>
      <c r="R43" s="96"/>
      <c r="S43" s="96"/>
    </row>
    <row r="44" spans="1:28">
      <c r="O44" s="96"/>
      <c r="P44" s="96"/>
      <c r="Q44" s="96"/>
      <c r="R44" s="96"/>
      <c r="S44" s="96"/>
      <c r="T44" s="96"/>
      <c r="U44" s="96"/>
      <c r="V44" s="96"/>
      <c r="W44" s="96"/>
      <c r="X44" s="96"/>
      <c r="Y44" s="96"/>
      <c r="Z44" s="96"/>
      <c r="AA44" s="96"/>
      <c r="AB44" s="96"/>
    </row>
    <row r="45" spans="1:28">
      <c r="O45" s="96"/>
      <c r="P45" s="96"/>
      <c r="Q45" s="96"/>
      <c r="R45" s="96"/>
      <c r="S45" s="96"/>
      <c r="T45" s="96"/>
      <c r="U45" s="96"/>
      <c r="V45" s="96"/>
      <c r="W45" s="96"/>
      <c r="X45" s="96"/>
      <c r="Y45" s="96"/>
      <c r="Z45" s="96"/>
      <c r="AA45" s="96"/>
      <c r="AB45" s="96"/>
    </row>
    <row r="46" spans="1:28">
      <c r="O46" s="96"/>
      <c r="P46" s="96"/>
      <c r="Q46" s="96"/>
      <c r="R46" s="96"/>
      <c r="S46" s="96"/>
      <c r="T46" s="96"/>
      <c r="U46" s="96"/>
      <c r="V46" s="96"/>
      <c r="W46" s="96"/>
      <c r="X46" s="96"/>
      <c r="Y46" s="96"/>
      <c r="Z46" s="96"/>
      <c r="AA46" s="96"/>
      <c r="AB46" s="96"/>
    </row>
    <row r="47" spans="1:28">
      <c r="O47" s="96"/>
      <c r="P47" s="96"/>
      <c r="Q47" s="96"/>
      <c r="R47" s="96"/>
      <c r="S47" s="96"/>
      <c r="T47" s="96"/>
      <c r="U47" s="96"/>
      <c r="V47" s="96"/>
      <c r="W47" s="96"/>
      <c r="X47" s="96"/>
      <c r="Y47" s="96"/>
      <c r="Z47" s="96"/>
      <c r="AA47" s="96"/>
      <c r="AB47" s="96"/>
    </row>
    <row r="48" spans="1:28">
      <c r="O48" s="96"/>
      <c r="P48" s="96"/>
      <c r="Q48" s="96"/>
      <c r="R48" s="96"/>
      <c r="S48" s="96"/>
      <c r="T48" s="96"/>
      <c r="U48" s="96"/>
      <c r="V48" s="96"/>
      <c r="W48" s="96"/>
      <c r="X48" s="96"/>
      <c r="Y48" s="96"/>
      <c r="Z48" s="96"/>
      <c r="AA48" s="96"/>
      <c r="AB48" s="96"/>
    </row>
    <row r="49" spans="2:28">
      <c r="O49" s="96"/>
      <c r="P49" s="96"/>
      <c r="Q49" s="96"/>
      <c r="R49" s="96"/>
      <c r="S49" s="96"/>
      <c r="T49" s="96"/>
      <c r="U49" s="96"/>
      <c r="V49" s="96"/>
      <c r="W49" s="96"/>
      <c r="X49" s="96"/>
      <c r="Y49" s="96"/>
      <c r="Z49" s="96"/>
      <c r="AA49" s="96"/>
      <c r="AB49" s="96"/>
    </row>
    <row r="50" spans="2:28">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row>
    <row r="69" spans="20:25">
      <c r="T69" s="96"/>
      <c r="U69" s="96"/>
      <c r="V69" s="96"/>
      <c r="W69" s="96"/>
      <c r="X69" s="96"/>
      <c r="Y69" s="96"/>
    </row>
    <row r="70" spans="20:25">
      <c r="T70" s="96"/>
      <c r="U70" s="96"/>
      <c r="V70" s="96"/>
      <c r="W70" s="96"/>
      <c r="X70" s="96"/>
      <c r="Y70" s="96"/>
    </row>
    <row r="71" spans="20:25">
      <c r="T71" s="96"/>
      <c r="U71" s="96"/>
      <c r="V71" s="96"/>
      <c r="W71" s="96"/>
      <c r="X71" s="96"/>
      <c r="Y71" s="96"/>
    </row>
    <row r="72" spans="20:25">
      <c r="T72" s="96"/>
      <c r="U72" s="96"/>
      <c r="V72" s="96"/>
      <c r="W72" s="96"/>
      <c r="X72" s="96"/>
      <c r="Y72" s="96"/>
    </row>
    <row r="73" spans="20:25">
      <c r="T73" s="96"/>
      <c r="U73" s="96"/>
      <c r="V73" s="96"/>
      <c r="W73" s="96"/>
      <c r="X73" s="96"/>
      <c r="Y73" s="96"/>
    </row>
    <row r="74" spans="20:25">
      <c r="T74" s="96"/>
      <c r="U74" s="96"/>
      <c r="V74" s="96"/>
      <c r="W74" s="96"/>
      <c r="X74" s="96"/>
      <c r="Y74" s="96"/>
    </row>
    <row r="75" spans="20:25">
      <c r="T75" s="96"/>
      <c r="U75" s="96"/>
      <c r="V75" s="96"/>
      <c r="W75" s="96"/>
      <c r="X75" s="96"/>
      <c r="Y75" s="96"/>
    </row>
    <row r="76" spans="20:25">
      <c r="T76" s="96"/>
      <c r="U76" s="96"/>
      <c r="V76" s="96"/>
      <c r="W76" s="96"/>
      <c r="X76" s="96"/>
      <c r="Y76" s="96"/>
    </row>
    <row r="86" spans="20:25">
      <c r="T86" s="96"/>
      <c r="U86" s="96"/>
      <c r="V86" s="96"/>
      <c r="W86" s="96"/>
      <c r="X86" s="96"/>
      <c r="Y86" s="96"/>
    </row>
    <row r="87" spans="20:25">
      <c r="T87" s="96"/>
      <c r="U87" s="96"/>
      <c r="V87" s="96"/>
      <c r="W87" s="96"/>
      <c r="X87" s="96"/>
      <c r="Y87" s="96"/>
    </row>
    <row r="88" spans="20:25">
      <c r="T88" s="96"/>
      <c r="U88" s="96"/>
      <c r="V88" s="96"/>
      <c r="W88" s="96"/>
      <c r="X88" s="96"/>
      <c r="Y88" s="96"/>
    </row>
    <row r="89" spans="20:25">
      <c r="T89" s="96"/>
      <c r="U89" s="96"/>
      <c r="V89" s="96"/>
      <c r="W89" s="96"/>
      <c r="X89" s="96"/>
      <c r="Y89" s="96"/>
    </row>
  </sheetData>
  <mergeCells count="3">
    <mergeCell ref="A1:R1"/>
    <mergeCell ref="A17:G17"/>
    <mergeCell ref="A38:Z38"/>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90"/>
  <sheetViews>
    <sheetView showGridLines="0" view="pageBreakPreview" zoomScale="55" zoomScaleNormal="100" zoomScaleSheetLayoutView="55" zoomScalePageLayoutView="62" workbookViewId="0">
      <selection activeCell="I6" sqref="I6"/>
    </sheetView>
  </sheetViews>
  <sheetFormatPr baseColWidth="10" defaultColWidth="11.42578125" defaultRowHeight="15"/>
  <cols>
    <col min="1" max="1" width="16.7109375" style="77" customWidth="1"/>
    <col min="2" max="2" width="27.140625" style="77" customWidth="1"/>
    <col min="3" max="3" width="34.28515625" style="77" customWidth="1"/>
    <col min="4" max="4" width="26.42578125" style="77" customWidth="1"/>
    <col min="5" max="5" width="27.42578125" style="77" customWidth="1"/>
    <col min="6" max="6" width="26.28515625" style="77" customWidth="1"/>
    <col min="7" max="7" width="23.85546875" style="77" customWidth="1"/>
    <col min="8" max="8" width="17.7109375" style="77" customWidth="1"/>
    <col min="9" max="9" width="20.7109375" style="77" customWidth="1"/>
    <col min="10" max="10" width="16.85546875" style="77" customWidth="1"/>
    <col min="11" max="11" width="14.5703125" style="77" customWidth="1"/>
    <col min="12" max="12" width="15" style="77" customWidth="1"/>
    <col min="13" max="13" width="17.28515625" style="77" customWidth="1"/>
    <col min="14" max="15" width="12.5703125" style="77" customWidth="1"/>
    <col min="16" max="16" width="13.28515625" style="77" customWidth="1"/>
    <col min="17" max="17" width="20" style="77" customWidth="1"/>
    <col min="18" max="18" width="14.42578125" style="77" customWidth="1"/>
    <col min="19" max="19" width="25.2851562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104.25" customHeight="1">
      <c r="A1" s="1833"/>
      <c r="B1" s="1833"/>
      <c r="C1" s="1833"/>
      <c r="D1" s="1833"/>
      <c r="E1" s="1833"/>
      <c r="F1" s="1833"/>
      <c r="G1" s="1833"/>
      <c r="H1" s="1833"/>
      <c r="I1" s="1833"/>
      <c r="J1" s="1833"/>
      <c r="K1" s="1833"/>
      <c r="L1" s="1833"/>
      <c r="M1" s="1833"/>
      <c r="N1" s="1833"/>
      <c r="O1" s="1833"/>
      <c r="P1" s="1833"/>
      <c r="Q1" s="1833"/>
      <c r="R1" s="1833"/>
    </row>
    <row r="2" spans="1:33" s="39" customFormat="1" ht="8.25" customHeight="1">
      <c r="A2" s="901"/>
      <c r="B2" s="901"/>
      <c r="C2" s="901"/>
      <c r="D2" s="901"/>
      <c r="E2" s="901"/>
      <c r="F2" s="901"/>
      <c r="G2" s="901"/>
      <c r="H2" s="189"/>
      <c r="I2" s="189"/>
      <c r="J2" s="189"/>
      <c r="K2" s="189"/>
      <c r="L2" s="189"/>
      <c r="M2" s="189"/>
      <c r="N2" s="189"/>
      <c r="O2" s="189"/>
      <c r="P2" s="189"/>
      <c r="Q2" s="189"/>
      <c r="R2" s="189"/>
    </row>
    <row r="3" spans="1:33" ht="93.75" customHeight="1">
      <c r="A3" s="875" t="s">
        <v>248</v>
      </c>
      <c r="B3" s="387" t="s">
        <v>708</v>
      </c>
      <c r="C3" s="386" t="s">
        <v>709</v>
      </c>
      <c r="D3" s="386" t="s">
        <v>710</v>
      </c>
      <c r="E3" s="386" t="s">
        <v>711</v>
      </c>
      <c r="F3" s="387" t="s">
        <v>712</v>
      </c>
      <c r="G3" s="388" t="s">
        <v>563</v>
      </c>
      <c r="H3"/>
      <c r="I3"/>
      <c r="J3"/>
      <c r="K3"/>
      <c r="L3"/>
      <c r="M3"/>
      <c r="N3"/>
      <c r="O3"/>
      <c r="P3"/>
      <c r="Q3"/>
      <c r="R3"/>
      <c r="S3" s="24"/>
      <c r="T3" s="24"/>
      <c r="U3" s="24"/>
      <c r="V3" s="24"/>
    </row>
    <row r="4" spans="1:33" ht="18.75">
      <c r="A4" s="895" t="s">
        <v>488</v>
      </c>
      <c r="B4" s="897">
        <v>1005990</v>
      </c>
      <c r="C4" s="391">
        <f t="shared" ref="C4:C9" si="0">D4+E4</f>
        <v>593477</v>
      </c>
      <c r="D4" s="390">
        <v>586713</v>
      </c>
      <c r="E4" s="390">
        <v>6764</v>
      </c>
      <c r="F4" s="1627">
        <f t="shared" ref="F4:F11" si="1">+B4+D4+E4</f>
        <v>1599467</v>
      </c>
      <c r="G4" s="392">
        <f t="shared" ref="G4:G11" si="2">C4/B4</f>
        <v>0.58994323999244525</v>
      </c>
      <c r="H4"/>
      <c r="I4"/>
      <c r="J4"/>
      <c r="K4"/>
      <c r="L4"/>
      <c r="M4"/>
      <c r="N4"/>
      <c r="O4"/>
      <c r="P4"/>
      <c r="Q4"/>
      <c r="R4"/>
      <c r="T4" s="24"/>
      <c r="U4" s="24"/>
      <c r="V4" s="24"/>
    </row>
    <row r="5" spans="1:33" ht="18.75">
      <c r="A5" s="895" t="s">
        <v>489</v>
      </c>
      <c r="B5" s="897">
        <v>992746</v>
      </c>
      <c r="C5" s="391">
        <f t="shared" si="0"/>
        <v>736925</v>
      </c>
      <c r="D5" s="390">
        <v>718099</v>
      </c>
      <c r="E5" s="390">
        <v>18826</v>
      </c>
      <c r="F5" s="1627">
        <f t="shared" si="1"/>
        <v>1729671</v>
      </c>
      <c r="G5" s="392">
        <f t="shared" si="2"/>
        <v>0.74230971467021778</v>
      </c>
      <c r="H5"/>
      <c r="J5"/>
      <c r="K5"/>
      <c r="L5"/>
      <c r="M5"/>
      <c r="N5"/>
      <c r="O5"/>
      <c r="P5"/>
      <c r="Q5"/>
      <c r="R5"/>
      <c r="S5" s="144"/>
      <c r="T5" s="24"/>
      <c r="U5" s="24"/>
      <c r="V5" s="24"/>
    </row>
    <row r="6" spans="1:33" ht="18.75">
      <c r="A6" s="895" t="s">
        <v>199</v>
      </c>
      <c r="B6" s="897">
        <v>1084705</v>
      </c>
      <c r="C6" s="391">
        <f t="shared" si="0"/>
        <v>1011527</v>
      </c>
      <c r="D6" s="390">
        <v>965195</v>
      </c>
      <c r="E6" s="390">
        <v>46332</v>
      </c>
      <c r="F6" s="1627">
        <f t="shared" si="1"/>
        <v>2096232</v>
      </c>
      <c r="G6" s="392">
        <f t="shared" si="2"/>
        <v>0.93253649609801748</v>
      </c>
      <c r="H6"/>
      <c r="J6"/>
      <c r="K6"/>
      <c r="L6"/>
      <c r="M6"/>
      <c r="N6"/>
      <c r="O6"/>
      <c r="P6"/>
      <c r="Q6"/>
      <c r="R6"/>
      <c r="S6" s="144"/>
      <c r="T6" s="24"/>
      <c r="U6" s="24"/>
      <c r="V6" s="24"/>
    </row>
    <row r="7" spans="1:33" ht="18.75">
      <c r="A7" s="895" t="s">
        <v>200</v>
      </c>
      <c r="B7" s="897">
        <v>1183463</v>
      </c>
      <c r="C7" s="391">
        <f t="shared" si="0"/>
        <v>1234529</v>
      </c>
      <c r="D7" s="390">
        <v>1163938</v>
      </c>
      <c r="E7" s="390">
        <v>70591</v>
      </c>
      <c r="F7" s="1627">
        <f t="shared" si="1"/>
        <v>2417992</v>
      </c>
      <c r="G7" s="392">
        <f t="shared" si="2"/>
        <v>1.043149637969248</v>
      </c>
      <c r="H7"/>
      <c r="J7"/>
      <c r="K7"/>
      <c r="L7"/>
      <c r="M7"/>
      <c r="N7"/>
      <c r="O7"/>
      <c r="P7"/>
      <c r="Q7"/>
      <c r="R7"/>
      <c r="S7" s="144"/>
      <c r="T7" s="24"/>
      <c r="U7" s="24"/>
      <c r="V7" s="24"/>
    </row>
    <row r="8" spans="1:33" ht="18.75">
      <c r="A8" s="895" t="s">
        <v>490</v>
      </c>
      <c r="B8" s="897">
        <v>1224959</v>
      </c>
      <c r="C8" s="391">
        <f t="shared" si="0"/>
        <v>1361984</v>
      </c>
      <c r="D8" s="390">
        <v>1266038</v>
      </c>
      <c r="E8" s="390">
        <v>95946</v>
      </c>
      <c r="F8" s="1627">
        <f t="shared" si="1"/>
        <v>2586943</v>
      </c>
      <c r="G8" s="392">
        <f t="shared" si="2"/>
        <v>1.1118608867725368</v>
      </c>
      <c r="H8"/>
      <c r="J8"/>
      <c r="K8"/>
      <c r="L8"/>
      <c r="M8"/>
      <c r="N8"/>
      <c r="O8"/>
      <c r="P8"/>
      <c r="Q8"/>
      <c r="R8"/>
      <c r="S8" s="144"/>
      <c r="T8" s="24"/>
      <c r="U8" s="24"/>
      <c r="V8" s="24"/>
    </row>
    <row r="9" spans="1:33" ht="18.75">
      <c r="A9" s="895" t="s">
        <v>491</v>
      </c>
      <c r="B9" s="897">
        <v>1270865</v>
      </c>
      <c r="C9" s="391">
        <f t="shared" si="0"/>
        <v>1476870</v>
      </c>
      <c r="D9" s="390">
        <v>1362366</v>
      </c>
      <c r="E9" s="390">
        <v>114504</v>
      </c>
      <c r="F9" s="1627">
        <f t="shared" si="1"/>
        <v>2747735</v>
      </c>
      <c r="G9" s="392">
        <f t="shared" si="2"/>
        <v>1.1620982559123116</v>
      </c>
      <c r="H9"/>
      <c r="J9"/>
      <c r="K9"/>
      <c r="L9"/>
      <c r="M9"/>
      <c r="N9"/>
      <c r="O9"/>
      <c r="P9"/>
      <c r="Q9"/>
      <c r="R9"/>
      <c r="S9" s="144"/>
      <c r="T9" s="24"/>
      <c r="U9" s="24"/>
      <c r="V9" s="24"/>
    </row>
    <row r="10" spans="1:33" ht="18.75">
      <c r="A10" s="895" t="s">
        <v>557</v>
      </c>
      <c r="B10" s="897">
        <v>1353109</v>
      </c>
      <c r="C10" s="391">
        <f>D10+E10</f>
        <v>1612217</v>
      </c>
      <c r="D10" s="390">
        <v>1478208</v>
      </c>
      <c r="E10" s="390">
        <v>134009</v>
      </c>
      <c r="F10" s="1627">
        <f t="shared" si="1"/>
        <v>2965326</v>
      </c>
      <c r="G10" s="392">
        <f t="shared" si="2"/>
        <v>1.1914908555038803</v>
      </c>
      <c r="H10"/>
      <c r="J10"/>
      <c r="K10"/>
      <c r="L10"/>
      <c r="M10"/>
      <c r="N10"/>
      <c r="O10"/>
      <c r="P10"/>
      <c r="Q10"/>
      <c r="R10"/>
      <c r="S10" s="144"/>
      <c r="T10" s="24"/>
      <c r="U10" s="24"/>
      <c r="V10" s="24"/>
    </row>
    <row r="11" spans="1:33" ht="18" customHeight="1">
      <c r="A11" s="895" t="s">
        <v>584</v>
      </c>
      <c r="B11" s="897">
        <v>1451773</v>
      </c>
      <c r="C11" s="391">
        <f>D11+E11</f>
        <v>1773174</v>
      </c>
      <c r="D11" s="390">
        <v>1621827</v>
      </c>
      <c r="E11" s="390">
        <v>151347</v>
      </c>
      <c r="F11" s="1627">
        <f t="shared" si="1"/>
        <v>3224947</v>
      </c>
      <c r="G11" s="392">
        <f t="shared" si="2"/>
        <v>1.2213851614543045</v>
      </c>
      <c r="H11"/>
      <c r="J11"/>
      <c r="K11" s="31"/>
      <c r="L11" s="31"/>
      <c r="M11" s="31"/>
      <c r="N11" s="31"/>
      <c r="O11" s="31"/>
      <c r="P11" s="31"/>
      <c r="Q11" s="61"/>
      <c r="R11" s="61"/>
      <c r="S11" s="144"/>
      <c r="T11" s="24"/>
      <c r="U11" s="24"/>
      <c r="V11" s="24"/>
    </row>
    <row r="12" spans="1:33" ht="18" customHeight="1">
      <c r="A12" s="896" t="s">
        <v>949</v>
      </c>
      <c r="B12" s="898">
        <v>1516017</v>
      </c>
      <c r="C12" s="419">
        <f>D12+E12</f>
        <v>1843989</v>
      </c>
      <c r="D12" s="418">
        <v>1671780</v>
      </c>
      <c r="E12" s="418">
        <v>172209</v>
      </c>
      <c r="F12" s="1628">
        <f>+B12+D12+E12</f>
        <v>3360006</v>
      </c>
      <c r="G12" s="393">
        <f>C12/B12</f>
        <v>1.2163379434399482</v>
      </c>
      <c r="J12" s="31"/>
      <c r="K12" s="31"/>
      <c r="L12" s="31"/>
      <c r="M12" s="31"/>
      <c r="N12" s="31"/>
      <c r="O12" s="31"/>
      <c r="P12" s="3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Q13" s="31"/>
      <c r="R13" s="31"/>
      <c r="S13" s="31"/>
      <c r="T13" s="31"/>
      <c r="U13" s="31"/>
      <c r="V13" s="31"/>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c r="AG14" s="77" t="s">
        <v>33</v>
      </c>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c r="W26" s="77" t="s">
        <v>33</v>
      </c>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t="s">
        <v>180</v>
      </c>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c r="S34" s="95"/>
      <c r="T34" s="95"/>
      <c r="U34" s="95"/>
      <c r="V34" s="95"/>
      <c r="W34" s="96"/>
      <c r="X34" s="96"/>
      <c r="Y34" s="96"/>
      <c r="Z34" s="96"/>
      <c r="AA34" s="96"/>
      <c r="AB34" s="96"/>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ht="51" customHeight="1">
      <c r="S38" s="95"/>
      <c r="T38" s="95"/>
      <c r="U38" s="95"/>
      <c r="V38" s="95"/>
      <c r="W38" s="96"/>
      <c r="X38" s="96"/>
      <c r="Y38" s="96"/>
      <c r="Z38" s="96"/>
      <c r="AA38" s="96"/>
      <c r="AB38" s="96"/>
    </row>
    <row r="39" spans="1:30" ht="78" customHeight="1">
      <c r="A39" s="1834"/>
      <c r="B39" s="1834"/>
      <c r="C39" s="1834"/>
      <c r="D39" s="1834"/>
      <c r="E39" s="1834"/>
      <c r="F39" s="1834"/>
      <c r="G39" s="1834"/>
      <c r="H39" s="1834"/>
      <c r="I39" s="1834"/>
      <c r="J39" s="1834"/>
      <c r="K39" s="1834"/>
      <c r="L39" s="1834"/>
      <c r="M39" s="1834"/>
      <c r="N39" s="1834"/>
      <c r="O39" s="1834"/>
      <c r="P39" s="1834"/>
      <c r="Q39" s="1834"/>
      <c r="R39" s="1834"/>
      <c r="S39" s="1834"/>
      <c r="T39" s="1834"/>
      <c r="U39" s="1834"/>
      <c r="V39" s="1834"/>
      <c r="W39" s="1834"/>
      <c r="X39" s="1834"/>
      <c r="Y39" s="1834"/>
      <c r="Z39" s="96"/>
      <c r="AA39" s="96"/>
      <c r="AB39" s="96"/>
    </row>
    <row r="40" spans="1:30">
      <c r="S40" s="96"/>
      <c r="T40" s="96"/>
      <c r="U40" s="96"/>
      <c r="V40" s="96"/>
      <c r="W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c r="X45" s="96"/>
      <c r="Y45" s="96"/>
      <c r="Z45" s="96"/>
      <c r="AA45" s="96"/>
      <c r="AB45" s="96"/>
      <c r="AC45" s="96"/>
      <c r="AD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row>
    <row r="70" spans="24:24">
      <c r="X70" s="96"/>
    </row>
    <row r="71" spans="24:24">
      <c r="X71" s="96"/>
    </row>
    <row r="72" spans="24:24">
      <c r="X72" s="96"/>
    </row>
    <row r="73" spans="24:24">
      <c r="X73" s="96"/>
    </row>
    <row r="74" spans="24:24">
      <c r="X74" s="96"/>
    </row>
    <row r="75" spans="24:24">
      <c r="X75" s="96"/>
    </row>
    <row r="76" spans="24:24">
      <c r="X76" s="96"/>
    </row>
    <row r="77" spans="24:24">
      <c r="X77" s="96"/>
    </row>
    <row r="87" spans="24:24">
      <c r="X87" s="96"/>
    </row>
    <row r="88" spans="24:24">
      <c r="X88" s="96"/>
    </row>
    <row r="89" spans="24:24">
      <c r="X89" s="96"/>
    </row>
    <row r="90" spans="24:24">
      <c r="X90" s="96"/>
    </row>
  </sheetData>
  <mergeCells count="2">
    <mergeCell ref="A1:R1"/>
    <mergeCell ref="A39:Y39"/>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B75"/>
  <sheetViews>
    <sheetView showGridLines="0" view="pageBreakPreview" zoomScale="40" zoomScaleNormal="100" zoomScaleSheetLayoutView="40" zoomScalePageLayoutView="62" workbookViewId="0">
      <selection activeCell="T32" sqref="T32"/>
    </sheetView>
  </sheetViews>
  <sheetFormatPr baseColWidth="10" defaultColWidth="11.42578125" defaultRowHeight="15"/>
  <cols>
    <col min="1" max="1" width="14.140625" style="77" customWidth="1"/>
    <col min="2" max="2" width="20" style="77" customWidth="1"/>
    <col min="3" max="3" width="22.140625" style="77" customWidth="1"/>
    <col min="4" max="4" width="21.140625" style="77" customWidth="1"/>
    <col min="5" max="5" width="22.42578125" style="77" customWidth="1"/>
    <col min="6" max="6" width="22.85546875" style="77" customWidth="1"/>
    <col min="7" max="7" width="22.7109375" style="77" customWidth="1"/>
    <col min="8" max="8" width="25.42578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7" width="11.140625" style="77" customWidth="1"/>
    <col min="18" max="18" width="13.7109375" style="77" customWidth="1"/>
    <col min="19" max="19" width="36.85546875" style="77" customWidth="1"/>
    <col min="20" max="27" width="11.42578125" style="77"/>
    <col min="28" max="28" width="18.7109375" style="77" bestFit="1" customWidth="1"/>
    <col min="29" max="16384" width="11.42578125" style="77"/>
  </cols>
  <sheetData>
    <row r="1" spans="1:19" ht="109.5" customHeight="1">
      <c r="A1" s="1848"/>
      <c r="B1" s="1848"/>
      <c r="C1" s="1848"/>
      <c r="D1" s="1848"/>
      <c r="E1" s="1848"/>
      <c r="F1" s="1848"/>
      <c r="G1" s="1848"/>
      <c r="H1" s="1848"/>
      <c r="I1" s="1848"/>
      <c r="J1" s="1848"/>
      <c r="K1" s="1848"/>
      <c r="L1" s="1848"/>
      <c r="M1" s="1848"/>
      <c r="N1" s="1848"/>
      <c r="O1" s="1848"/>
      <c r="P1" s="1848"/>
      <c r="Q1" s="1848"/>
      <c r="R1" s="1848"/>
    </row>
    <row r="2" spans="1:19" ht="5.25" customHeight="1">
      <c r="A2" s="189"/>
      <c r="B2" s="189"/>
      <c r="C2" s="189"/>
      <c r="D2" s="189"/>
      <c r="E2" s="189"/>
      <c r="F2" s="189"/>
      <c r="G2" s="189"/>
      <c r="H2" s="189"/>
      <c r="I2" s="189"/>
      <c r="J2" s="189"/>
      <c r="K2" s="189"/>
      <c r="L2" s="189"/>
      <c r="M2" s="189"/>
      <c r="N2" s="189"/>
      <c r="O2" s="189"/>
      <c r="P2" s="189"/>
      <c r="Q2" s="189"/>
      <c r="R2" s="189"/>
    </row>
    <row r="3" spans="1:19" s="50" customFormat="1" ht="86.25" customHeight="1">
      <c r="A3" s="878" t="s">
        <v>48</v>
      </c>
      <c r="B3" s="330" t="s">
        <v>942</v>
      </c>
      <c r="C3" s="328" t="s">
        <v>709</v>
      </c>
      <c r="D3" s="328" t="s">
        <v>943</v>
      </c>
      <c r="E3" s="328" t="s">
        <v>713</v>
      </c>
      <c r="F3" s="328" t="s">
        <v>714</v>
      </c>
      <c r="G3" s="329" t="s">
        <v>563</v>
      </c>
      <c r="H3"/>
      <c r="I3"/>
      <c r="J3"/>
      <c r="K3"/>
      <c r="L3"/>
      <c r="M3"/>
      <c r="N3"/>
      <c r="O3"/>
      <c r="P3"/>
      <c r="Q3"/>
      <c r="R3"/>
      <c r="S3" s="224"/>
    </row>
    <row r="4" spans="1:19" ht="18.75">
      <c r="A4" s="1062" t="s">
        <v>567</v>
      </c>
      <c r="B4" s="268">
        <v>1414279</v>
      </c>
      <c r="C4" s="378">
        <f t="shared" ref="C4:C12" si="0">D4+E4</f>
        <v>1698036</v>
      </c>
      <c r="D4" s="269">
        <v>1553545</v>
      </c>
      <c r="E4" s="269">
        <v>144491</v>
      </c>
      <c r="F4" s="378">
        <f t="shared" ref="F4:F10" si="1">+B4+D4+E4</f>
        <v>3112315</v>
      </c>
      <c r="G4" s="331">
        <f t="shared" ref="G4:G12" si="2">C4/B4</f>
        <v>1.2006372151463749</v>
      </c>
      <c r="J4"/>
      <c r="K4"/>
      <c r="L4"/>
      <c r="M4"/>
      <c r="N4"/>
      <c r="O4"/>
      <c r="P4"/>
      <c r="Q4"/>
      <c r="R4"/>
    </row>
    <row r="5" spans="1:19" ht="18.75">
      <c r="A5" s="1062" t="s">
        <v>568</v>
      </c>
      <c r="B5" s="268">
        <v>1404730</v>
      </c>
      <c r="C5" s="378">
        <f t="shared" si="0"/>
        <v>1698925</v>
      </c>
      <c r="D5" s="269">
        <v>1555644</v>
      </c>
      <c r="E5" s="269">
        <v>143281</v>
      </c>
      <c r="F5" s="378">
        <f t="shared" si="1"/>
        <v>3103655</v>
      </c>
      <c r="G5" s="331">
        <f t="shared" si="2"/>
        <v>1.2094317057370456</v>
      </c>
      <c r="J5"/>
      <c r="K5"/>
      <c r="L5"/>
      <c r="M5"/>
      <c r="N5"/>
      <c r="O5"/>
      <c r="P5"/>
      <c r="Q5"/>
      <c r="R5"/>
    </row>
    <row r="6" spans="1:19" ht="18.75">
      <c r="A6" s="1062" t="s">
        <v>569</v>
      </c>
      <c r="B6" s="268">
        <v>1430575</v>
      </c>
      <c r="C6" s="378">
        <f t="shared" si="0"/>
        <v>1730093</v>
      </c>
      <c r="D6" s="269">
        <v>1584765</v>
      </c>
      <c r="E6" s="269">
        <v>145328</v>
      </c>
      <c r="F6" s="378">
        <f t="shared" si="1"/>
        <v>3160668</v>
      </c>
      <c r="G6" s="331">
        <f t="shared" si="2"/>
        <v>1.2093689600335529</v>
      </c>
      <c r="J6"/>
      <c r="K6"/>
      <c r="L6"/>
      <c r="M6"/>
      <c r="N6"/>
      <c r="O6"/>
      <c r="P6"/>
      <c r="Q6"/>
      <c r="R6"/>
    </row>
    <row r="7" spans="1:19" ht="18.75">
      <c r="A7" s="1062" t="s">
        <v>570</v>
      </c>
      <c r="B7" s="268">
        <v>1422487</v>
      </c>
      <c r="C7" s="378">
        <f t="shared" si="0"/>
        <v>1725381</v>
      </c>
      <c r="D7" s="269">
        <v>1578479</v>
      </c>
      <c r="E7" s="269">
        <v>146902</v>
      </c>
      <c r="F7" s="378">
        <f t="shared" si="1"/>
        <v>3147868</v>
      </c>
      <c r="G7" s="331">
        <f t="shared" si="2"/>
        <v>1.2129327016696814</v>
      </c>
      <c r="J7"/>
      <c r="K7"/>
      <c r="L7"/>
      <c r="M7"/>
      <c r="N7"/>
      <c r="O7"/>
      <c r="P7"/>
      <c r="Q7"/>
      <c r="R7"/>
    </row>
    <row r="8" spans="1:19" ht="15" customHeight="1">
      <c r="A8" s="1062" t="s">
        <v>547</v>
      </c>
      <c r="B8" s="268">
        <v>1434785</v>
      </c>
      <c r="C8" s="378">
        <f t="shared" si="0"/>
        <v>1744429</v>
      </c>
      <c r="D8" s="269">
        <v>1595792</v>
      </c>
      <c r="E8" s="269">
        <v>148637</v>
      </c>
      <c r="F8" s="378">
        <f t="shared" si="1"/>
        <v>3179214</v>
      </c>
      <c r="G8" s="331">
        <f t="shared" si="2"/>
        <v>1.2158121251616096</v>
      </c>
      <c r="J8"/>
      <c r="K8"/>
      <c r="L8"/>
      <c r="M8"/>
      <c r="N8"/>
      <c r="O8"/>
      <c r="P8"/>
      <c r="Q8"/>
      <c r="R8"/>
    </row>
    <row r="9" spans="1:19" ht="18.75">
      <c r="A9" s="1062" t="s">
        <v>588</v>
      </c>
      <c r="B9" s="268">
        <v>1448467</v>
      </c>
      <c r="C9" s="378">
        <f t="shared" si="0"/>
        <v>1752260</v>
      </c>
      <c r="D9" s="269">
        <v>1601669</v>
      </c>
      <c r="E9" s="269">
        <v>150591</v>
      </c>
      <c r="F9" s="378">
        <f t="shared" si="1"/>
        <v>3200727</v>
      </c>
      <c r="G9" s="331">
        <f t="shared" si="2"/>
        <v>1.2097341534187525</v>
      </c>
      <c r="J9" s="31"/>
      <c r="K9" s="31"/>
      <c r="L9" s="31"/>
      <c r="M9" s="31"/>
      <c r="N9" s="31"/>
      <c r="O9" s="31"/>
      <c r="P9" s="31"/>
      <c r="Q9" s="31"/>
      <c r="R9" s="31"/>
    </row>
    <row r="10" spans="1:19" ht="18.75">
      <c r="A10" s="1062" t="s">
        <v>586</v>
      </c>
      <c r="B10" s="268">
        <v>1451773</v>
      </c>
      <c r="C10" s="378">
        <f t="shared" si="0"/>
        <v>1773174</v>
      </c>
      <c r="D10" s="269">
        <v>1621827</v>
      </c>
      <c r="E10" s="269">
        <v>151347</v>
      </c>
      <c r="F10" s="378">
        <f t="shared" si="1"/>
        <v>3224947</v>
      </c>
      <c r="G10" s="331">
        <f t="shared" si="2"/>
        <v>1.2213851614543045</v>
      </c>
      <c r="J10" s="31"/>
      <c r="K10" s="31"/>
      <c r="L10" s="31"/>
      <c r="M10" s="31"/>
      <c r="N10" s="31"/>
      <c r="O10" s="31"/>
      <c r="P10" s="31"/>
      <c r="Q10" s="31"/>
      <c r="R10" s="31"/>
    </row>
    <row r="11" spans="1:19" ht="18.75">
      <c r="A11" s="1062" t="s">
        <v>587</v>
      </c>
      <c r="B11" s="268">
        <v>1459038</v>
      </c>
      <c r="C11" s="378">
        <f t="shared" si="0"/>
        <v>1778842</v>
      </c>
      <c r="D11" s="269">
        <v>1615933</v>
      </c>
      <c r="E11" s="269">
        <v>162909</v>
      </c>
      <c r="F11" s="378">
        <f>+B11+D11+E11</f>
        <v>3237880</v>
      </c>
      <c r="G11" s="331">
        <f t="shared" si="2"/>
        <v>1.2191882596615029</v>
      </c>
      <c r="I11" s="31"/>
      <c r="J11" s="31"/>
      <c r="K11" s="31"/>
      <c r="L11" s="31"/>
      <c r="M11" s="31"/>
      <c r="N11" s="31"/>
      <c r="O11" s="31"/>
      <c r="P11" s="31"/>
      <c r="Q11" s="31"/>
      <c r="R11" s="31"/>
    </row>
    <row r="12" spans="1:19" ht="18.75">
      <c r="A12" s="1062" t="s">
        <v>761</v>
      </c>
      <c r="B12" s="268">
        <v>1460791</v>
      </c>
      <c r="C12" s="378">
        <f t="shared" si="0"/>
        <v>1787686</v>
      </c>
      <c r="D12" s="269">
        <v>1617473</v>
      </c>
      <c r="E12" s="269">
        <v>170213</v>
      </c>
      <c r="F12" s="378">
        <f>+B12+D12+E12</f>
        <v>3248477</v>
      </c>
      <c r="G12" s="331">
        <f t="shared" si="2"/>
        <v>1.223779445519585</v>
      </c>
      <c r="I12" s="31"/>
      <c r="J12" s="31"/>
      <c r="K12" s="31"/>
      <c r="L12" s="31"/>
      <c r="M12" s="31"/>
      <c r="N12" s="31"/>
      <c r="O12" s="31"/>
      <c r="P12" s="31"/>
      <c r="Q12" s="31"/>
      <c r="R12" s="31"/>
    </row>
    <row r="13" spans="1:19" ht="18.75">
      <c r="A13" s="1062" t="s">
        <v>909</v>
      </c>
      <c r="B13" s="268">
        <v>1482487</v>
      </c>
      <c r="C13" s="378">
        <v>1831900</v>
      </c>
      <c r="D13" s="269">
        <v>1661507</v>
      </c>
      <c r="E13" s="269">
        <v>170393</v>
      </c>
      <c r="F13" s="378">
        <v>3314387</v>
      </c>
      <c r="G13" s="331">
        <v>1.235693803723068</v>
      </c>
      <c r="I13" s="31"/>
      <c r="J13" s="31"/>
      <c r="K13" s="31"/>
      <c r="L13" s="31"/>
      <c r="M13" s="31"/>
      <c r="N13" s="31"/>
      <c r="O13" s="31"/>
      <c r="P13" s="31"/>
      <c r="Q13" s="31"/>
      <c r="R13" s="31"/>
    </row>
    <row r="14" spans="1:19" ht="18.75">
      <c r="A14" s="1062" t="s">
        <v>917</v>
      </c>
      <c r="B14" s="268">
        <v>1507945</v>
      </c>
      <c r="C14" s="378">
        <v>1822106</v>
      </c>
      <c r="D14" s="269">
        <v>1651231</v>
      </c>
      <c r="E14" s="269">
        <v>170875</v>
      </c>
      <c r="F14" s="378">
        <v>3330051</v>
      </c>
      <c r="G14" s="331">
        <v>1.2083371741011775</v>
      </c>
      <c r="I14" s="31"/>
      <c r="J14" s="31"/>
      <c r="K14" s="31"/>
      <c r="L14" s="31"/>
      <c r="M14" s="31"/>
      <c r="N14" s="31"/>
      <c r="O14" s="31"/>
      <c r="P14" s="31"/>
      <c r="Q14" s="31"/>
      <c r="R14" s="31"/>
    </row>
    <row r="15" spans="1:19" ht="18.75">
      <c r="A15" s="1062" t="s">
        <v>931</v>
      </c>
      <c r="B15" s="268">
        <v>1511271</v>
      </c>
      <c r="C15" s="378">
        <v>1837354</v>
      </c>
      <c r="D15" s="269">
        <v>1665803</v>
      </c>
      <c r="E15" s="269">
        <v>171551</v>
      </c>
      <c r="F15" s="378">
        <v>3348625</v>
      </c>
      <c r="G15" s="331">
        <v>1.215767390494491</v>
      </c>
      <c r="I15" s="31"/>
      <c r="J15" s="31"/>
      <c r="K15" s="31"/>
      <c r="L15" s="31"/>
      <c r="M15" s="31"/>
      <c r="N15" s="31"/>
      <c r="O15" s="31"/>
      <c r="P15" s="31"/>
      <c r="Q15" s="31"/>
      <c r="R15" s="31"/>
    </row>
    <row r="16" spans="1:19" ht="18.75">
      <c r="A16" s="1063" t="s">
        <v>946</v>
      </c>
      <c r="B16" s="1060">
        <v>1516017</v>
      </c>
      <c r="C16" s="380">
        <f>D16+E16</f>
        <v>1843989</v>
      </c>
      <c r="D16" s="420">
        <v>1671780</v>
      </c>
      <c r="E16" s="420">
        <v>172209</v>
      </c>
      <c r="F16" s="380">
        <f>+B16+D16+E16</f>
        <v>3360006</v>
      </c>
      <c r="G16" s="377">
        <f>C16/B16</f>
        <v>1.2163379434399482</v>
      </c>
      <c r="H16" s="31"/>
      <c r="I16" s="31"/>
      <c r="J16" s="31"/>
      <c r="K16" s="31"/>
      <c r="L16" s="31"/>
      <c r="M16" s="31"/>
      <c r="N16" s="31"/>
      <c r="O16" s="31"/>
      <c r="P16" s="31"/>
      <c r="Q16" s="31"/>
      <c r="R16" s="31"/>
    </row>
    <row r="17" spans="1:28" ht="25.5" customHeight="1">
      <c r="A17" s="1851" t="s">
        <v>564</v>
      </c>
      <c r="B17" s="1851"/>
      <c r="C17" s="1851"/>
      <c r="D17" s="1851"/>
      <c r="E17" s="1851"/>
      <c r="F17" s="1851"/>
      <c r="G17" s="1851"/>
      <c r="H17" s="31"/>
      <c r="I17" s="31"/>
      <c r="J17" s="31"/>
      <c r="K17" s="31"/>
      <c r="L17" s="31"/>
      <c r="M17" s="31"/>
      <c r="N17" s="31"/>
      <c r="O17" s="31"/>
      <c r="P17" s="31"/>
      <c r="Q17" s="31"/>
      <c r="R17" s="31"/>
    </row>
    <row r="18" spans="1:28" ht="25.5" customHeight="1">
      <c r="A18" s="31"/>
      <c r="B18" s="31"/>
      <c r="C18" s="31"/>
      <c r="D18" s="31"/>
      <c r="E18" s="31"/>
      <c r="F18" s="31"/>
      <c r="G18" s="31"/>
      <c r="H18" s="31"/>
      <c r="I18" s="31"/>
      <c r="J18" s="31"/>
      <c r="K18" s="31"/>
      <c r="L18" s="31"/>
      <c r="M18" s="31"/>
      <c r="N18" s="31"/>
      <c r="O18" s="31"/>
      <c r="P18" s="31"/>
      <c r="Q18" s="31"/>
      <c r="R18" s="31"/>
    </row>
    <row r="19" spans="1:28" ht="25.5" customHeight="1">
      <c r="H19" s="31"/>
      <c r="I19" s="31"/>
      <c r="J19" s="31"/>
      <c r="K19" s="31"/>
      <c r="L19" s="31"/>
      <c r="M19" s="31"/>
      <c r="N19" s="31"/>
      <c r="O19" s="31"/>
      <c r="P19" s="31"/>
      <c r="Q19" s="31"/>
      <c r="R19" s="31"/>
    </row>
    <row r="20" spans="1:28" ht="25.5" customHeight="1">
      <c r="A20" s="31"/>
      <c r="B20" s="31"/>
      <c r="C20" s="31"/>
      <c r="D20" s="31"/>
      <c r="E20" s="31"/>
      <c r="F20" s="31"/>
      <c r="G20" s="31"/>
      <c r="H20" s="31"/>
      <c r="I20" s="31"/>
      <c r="J20" s="31"/>
      <c r="K20" s="31"/>
      <c r="L20" s="31"/>
      <c r="M20" s="31"/>
      <c r="N20" s="31"/>
      <c r="O20" s="31"/>
      <c r="P20" s="31"/>
      <c r="Q20" s="31"/>
      <c r="R20" s="31"/>
    </row>
    <row r="21" spans="1:28" ht="25.5" customHeight="1">
      <c r="A21" s="31"/>
      <c r="B21" s="31"/>
      <c r="C21" s="31"/>
      <c r="D21" s="31"/>
      <c r="E21" s="31"/>
      <c r="F21" s="31"/>
      <c r="G21" s="31"/>
      <c r="H21" s="31"/>
      <c r="I21" s="31"/>
      <c r="J21" s="31"/>
      <c r="K21" s="31"/>
      <c r="L21" s="31"/>
      <c r="M21" s="31"/>
      <c r="N21" s="31"/>
      <c r="O21" s="31"/>
      <c r="P21" s="31"/>
      <c r="Q21" s="31"/>
      <c r="R21" s="31"/>
    </row>
    <row r="22" spans="1:28" ht="25.5" customHeight="1">
      <c r="A22" s="31"/>
      <c r="B22" s="31"/>
      <c r="C22" s="31"/>
      <c r="D22" s="31"/>
      <c r="E22" s="31"/>
      <c r="F22" s="31"/>
      <c r="G22" s="31"/>
      <c r="H22" s="31"/>
      <c r="I22" s="31"/>
      <c r="J22" s="31"/>
      <c r="K22" s="31"/>
      <c r="L22" s="31"/>
      <c r="M22" s="31"/>
      <c r="N22" s="31"/>
      <c r="O22" s="31"/>
      <c r="P22" s="31"/>
      <c r="Q22" s="31"/>
      <c r="R22" s="31"/>
    </row>
    <row r="23" spans="1:28" ht="25.5" customHeight="1">
      <c r="A23" s="31"/>
      <c r="B23" s="31"/>
      <c r="C23" s="31"/>
      <c r="D23" s="31"/>
      <c r="E23" s="31"/>
      <c r="F23" s="31"/>
      <c r="G23" s="31"/>
      <c r="H23" s="31"/>
      <c r="I23" s="31"/>
      <c r="J23" s="31"/>
      <c r="K23" s="31"/>
      <c r="L23" s="31"/>
      <c r="M23" s="31"/>
      <c r="N23" s="31"/>
      <c r="O23" s="31"/>
      <c r="P23" s="31"/>
      <c r="Q23" s="31"/>
      <c r="R23" s="31"/>
    </row>
    <row r="24" spans="1:28" ht="25.5" customHeight="1">
      <c r="A24" s="31"/>
      <c r="B24" s="31"/>
      <c r="C24" s="31"/>
      <c r="D24" s="31"/>
      <c r="E24" s="31"/>
      <c r="F24" s="31"/>
      <c r="G24" s="31"/>
      <c r="H24" s="31"/>
      <c r="I24" s="31"/>
      <c r="J24" s="31"/>
      <c r="K24" s="31"/>
      <c r="L24" s="31"/>
      <c r="M24" s="31"/>
      <c r="N24" s="31"/>
      <c r="O24" s="31"/>
      <c r="P24" s="31"/>
      <c r="Q24" s="31"/>
      <c r="R24" s="31"/>
    </row>
    <row r="25" spans="1:28" ht="25.5" customHeight="1">
      <c r="A25" s="31"/>
      <c r="B25" s="31"/>
      <c r="C25" s="31"/>
      <c r="D25" s="31"/>
      <c r="E25" s="31"/>
      <c r="F25" s="31"/>
      <c r="G25" s="31"/>
      <c r="H25" s="31"/>
      <c r="I25" s="31"/>
      <c r="J25" s="31"/>
      <c r="K25" s="31"/>
      <c r="L25" s="31"/>
      <c r="M25" s="31"/>
      <c r="N25" s="31"/>
      <c r="O25" s="31"/>
      <c r="P25" s="31"/>
      <c r="Q25" s="31"/>
      <c r="R25" s="31"/>
    </row>
    <row r="26" spans="1:28" ht="25.5" customHeight="1">
      <c r="A26" s="31"/>
      <c r="B26" s="31"/>
      <c r="C26" s="31"/>
      <c r="D26" s="31"/>
      <c r="E26" s="31"/>
      <c r="F26" s="31"/>
      <c r="G26" s="31"/>
      <c r="H26" s="31"/>
      <c r="I26" s="31"/>
      <c r="J26" s="31"/>
      <c r="K26" s="31"/>
      <c r="L26" s="31"/>
      <c r="M26" s="31"/>
      <c r="N26" s="31"/>
      <c r="O26" s="31"/>
      <c r="P26" s="31"/>
      <c r="Q26" s="31"/>
      <c r="R26" s="31"/>
    </row>
    <row r="27" spans="1:28" ht="25.5" customHeight="1">
      <c r="A27" s="31"/>
      <c r="B27" s="31"/>
      <c r="C27" s="31"/>
      <c r="D27" s="31"/>
      <c r="E27" s="31"/>
      <c r="F27" s="31"/>
      <c r="G27" s="31"/>
      <c r="H27" s="31"/>
      <c r="I27" s="31"/>
      <c r="J27" s="31"/>
      <c r="K27" s="31"/>
      <c r="L27" s="31"/>
      <c r="M27" s="31"/>
      <c r="N27" s="31"/>
      <c r="O27" s="31"/>
      <c r="P27" s="31"/>
      <c r="Q27" s="31"/>
      <c r="R27" s="31"/>
    </row>
    <row r="28" spans="1:28" ht="25.5" customHeight="1">
      <c r="A28" s="31"/>
      <c r="B28" s="31"/>
      <c r="C28" s="31"/>
      <c r="D28" s="31"/>
      <c r="E28" s="31"/>
      <c r="F28" s="31"/>
      <c r="G28" s="31"/>
      <c r="H28" s="31"/>
      <c r="I28" s="31"/>
      <c r="J28" s="31"/>
      <c r="K28" s="31"/>
      <c r="L28" s="31"/>
      <c r="M28" s="31"/>
      <c r="N28" s="31"/>
      <c r="O28" s="31"/>
      <c r="P28" s="31"/>
      <c r="Q28" s="31"/>
      <c r="R28" s="31"/>
    </row>
    <row r="29" spans="1:28">
      <c r="O29" s="95"/>
      <c r="P29" s="95"/>
      <c r="Q29" s="95"/>
      <c r="R29" s="95"/>
      <c r="S29" s="96"/>
      <c r="T29" s="96"/>
      <c r="U29" s="96"/>
      <c r="V29" s="96"/>
      <c r="W29" s="96"/>
      <c r="X29" s="96"/>
      <c r="Y29" s="96"/>
      <c r="Z29" s="96"/>
      <c r="AA29" s="96"/>
      <c r="AB29" s="96"/>
    </row>
    <row r="30" spans="1:28">
      <c r="O30" s="95"/>
      <c r="P30" s="95"/>
      <c r="Q30" s="95"/>
      <c r="R30" s="95"/>
      <c r="S30" s="96"/>
      <c r="T30" s="96"/>
      <c r="U30" s="96"/>
      <c r="V30" s="96"/>
      <c r="W30" s="96"/>
      <c r="X30" s="96"/>
      <c r="Y30" s="96"/>
      <c r="Z30" s="96"/>
      <c r="AA30" s="96"/>
      <c r="AB30" s="96"/>
    </row>
    <row r="31" spans="1:28">
      <c r="O31" s="95"/>
      <c r="P31" s="95"/>
      <c r="Q31" s="95"/>
      <c r="R31" s="95"/>
      <c r="S31" s="96"/>
      <c r="T31" s="96"/>
      <c r="U31" s="96"/>
      <c r="V31" s="96"/>
      <c r="W31" s="96"/>
      <c r="X31" s="96"/>
      <c r="Y31" s="96"/>
      <c r="Z31" s="96"/>
      <c r="AA31" s="96"/>
      <c r="AB31" s="96"/>
    </row>
    <row r="32" spans="1:28">
      <c r="O32" s="95"/>
      <c r="P32" s="95"/>
      <c r="Q32" s="95"/>
      <c r="R32" s="95"/>
      <c r="S32" s="96"/>
      <c r="T32" s="96"/>
      <c r="U32" s="96"/>
      <c r="V32" s="96"/>
      <c r="W32" s="96"/>
      <c r="X32" s="96"/>
      <c r="Y32" s="96"/>
      <c r="Z32" s="96"/>
      <c r="AA32" s="96"/>
      <c r="AB32" s="96"/>
    </row>
    <row r="33" spans="1:28" ht="51" customHeight="1">
      <c r="O33" s="95"/>
      <c r="P33" s="95"/>
      <c r="Q33" s="95"/>
      <c r="R33" s="95"/>
      <c r="S33" s="96"/>
      <c r="T33" s="96"/>
      <c r="U33" s="96"/>
      <c r="V33" s="96"/>
      <c r="W33" s="96"/>
      <c r="X33" s="96"/>
      <c r="Y33" s="96"/>
      <c r="Z33" s="96"/>
      <c r="AA33" s="96"/>
      <c r="AB33" s="96"/>
    </row>
    <row r="34" spans="1:28" ht="78" customHeight="1">
      <c r="A34" s="1834"/>
      <c r="B34" s="1834"/>
      <c r="C34" s="1834"/>
      <c r="D34" s="1834"/>
      <c r="E34" s="1834"/>
      <c r="F34" s="1834"/>
      <c r="G34" s="1834"/>
      <c r="H34" s="1834"/>
      <c r="I34" s="1834"/>
      <c r="J34" s="1834"/>
      <c r="K34" s="1834"/>
      <c r="L34" s="1834"/>
      <c r="M34" s="1834"/>
      <c r="N34" s="1834"/>
      <c r="O34" s="1834"/>
      <c r="P34" s="1834"/>
      <c r="Q34" s="1834"/>
      <c r="R34" s="1834"/>
      <c r="S34" s="1834"/>
      <c r="T34" s="1834"/>
      <c r="U34" s="1834"/>
      <c r="V34" s="1834"/>
      <c r="W34" s="1834"/>
      <c r="X34" s="1834"/>
      <c r="Y34" s="1834"/>
      <c r="Z34" s="1834"/>
      <c r="AA34" s="96"/>
      <c r="AB34" s="96"/>
    </row>
    <row r="35" spans="1:28">
      <c r="O35" s="96"/>
      <c r="P35" s="96"/>
      <c r="Q35" s="96"/>
      <c r="R35" s="96"/>
      <c r="S35" s="96"/>
    </row>
    <row r="36" spans="1:28">
      <c r="O36" s="96"/>
      <c r="P36" s="96"/>
      <c r="Q36" s="96"/>
      <c r="R36" s="96"/>
      <c r="S36" s="96"/>
    </row>
    <row r="37" spans="1:28">
      <c r="O37" s="96"/>
      <c r="P37" s="96"/>
      <c r="Q37" s="96"/>
      <c r="R37" s="96"/>
      <c r="S37" s="96"/>
    </row>
    <row r="38" spans="1:28">
      <c r="O38" s="96"/>
      <c r="P38" s="96"/>
      <c r="Q38" s="96"/>
      <c r="R38" s="96"/>
      <c r="S38" s="96"/>
    </row>
    <row r="39" spans="1:28">
      <c r="O39" s="96"/>
      <c r="P39" s="96"/>
      <c r="Q39" s="96"/>
      <c r="R39" s="96"/>
      <c r="S39" s="96"/>
    </row>
    <row r="40" spans="1:28">
      <c r="O40" s="96"/>
      <c r="P40" s="96"/>
      <c r="Q40" s="96"/>
      <c r="R40" s="96"/>
      <c r="S40" s="96"/>
      <c r="T40" s="96"/>
      <c r="U40" s="96"/>
      <c r="V40" s="96"/>
      <c r="W40" s="96"/>
      <c r="X40" s="96"/>
      <c r="Y40" s="96"/>
      <c r="Z40" s="96"/>
      <c r="AA40" s="96"/>
      <c r="AB40" s="96"/>
    </row>
    <row r="41" spans="1:28">
      <c r="O41" s="96"/>
      <c r="P41" s="96"/>
      <c r="Q41" s="96"/>
      <c r="R41" s="96"/>
      <c r="S41" s="96"/>
      <c r="T41" s="96"/>
      <c r="U41" s="96"/>
      <c r="V41" s="96"/>
      <c r="W41" s="96"/>
      <c r="X41" s="96"/>
      <c r="Y41" s="96"/>
      <c r="Z41" s="96"/>
      <c r="AA41" s="96"/>
      <c r="AB41" s="96"/>
    </row>
    <row r="42" spans="1:28">
      <c r="O42" s="96"/>
      <c r="P42" s="96"/>
      <c r="Q42" s="96"/>
      <c r="R42" s="96"/>
      <c r="S42" s="96"/>
      <c r="T42" s="96"/>
      <c r="U42" s="96"/>
      <c r="V42" s="96"/>
      <c r="W42" s="96"/>
      <c r="X42" s="96"/>
      <c r="Y42" s="96"/>
      <c r="Z42" s="96"/>
      <c r="AA42" s="96"/>
      <c r="AB42" s="96"/>
    </row>
    <row r="55" spans="20:25">
      <c r="T55" s="96"/>
      <c r="U55" s="96"/>
      <c r="V55" s="96"/>
      <c r="W55" s="96"/>
      <c r="X55" s="96"/>
      <c r="Y55" s="96"/>
    </row>
    <row r="56" spans="20:25">
      <c r="T56" s="96"/>
      <c r="U56" s="96"/>
      <c r="V56" s="96"/>
      <c r="W56" s="96"/>
      <c r="X56" s="96"/>
      <c r="Y56" s="96"/>
    </row>
    <row r="57" spans="20:25">
      <c r="T57" s="96"/>
      <c r="U57" s="96"/>
      <c r="V57" s="96"/>
      <c r="W57" s="96"/>
      <c r="X57" s="96"/>
      <c r="Y57" s="96"/>
    </row>
    <row r="58" spans="20:25">
      <c r="T58" s="96"/>
      <c r="U58" s="96"/>
      <c r="V58" s="96"/>
      <c r="W58" s="96"/>
      <c r="X58" s="96"/>
      <c r="Y58" s="96"/>
    </row>
    <row r="59" spans="20:25">
      <c r="T59" s="96"/>
      <c r="U59" s="96"/>
      <c r="V59" s="96"/>
      <c r="W59" s="96"/>
      <c r="X59" s="96"/>
      <c r="Y59" s="96"/>
    </row>
    <row r="60" spans="20:25">
      <c r="T60" s="96"/>
      <c r="U60" s="96"/>
      <c r="V60" s="96"/>
      <c r="W60" s="96"/>
      <c r="X60" s="96"/>
      <c r="Y60" s="96"/>
    </row>
    <row r="61" spans="20:25">
      <c r="T61" s="96"/>
      <c r="U61" s="96"/>
      <c r="V61" s="96"/>
      <c r="W61" s="96"/>
      <c r="X61" s="96"/>
      <c r="Y61" s="96"/>
    </row>
    <row r="62" spans="20:25">
      <c r="T62" s="96"/>
      <c r="U62" s="96"/>
      <c r="V62" s="96"/>
      <c r="W62" s="96"/>
      <c r="X62" s="96"/>
      <c r="Y62" s="96"/>
    </row>
    <row r="72" spans="20:25">
      <c r="T72" s="96"/>
      <c r="U72" s="96"/>
      <c r="V72" s="96"/>
      <c r="W72" s="96"/>
      <c r="X72" s="96"/>
      <c r="Y72" s="96"/>
    </row>
    <row r="73" spans="20:25">
      <c r="T73" s="96"/>
      <c r="U73" s="96"/>
      <c r="V73" s="96"/>
      <c r="W73" s="96"/>
      <c r="X73" s="96"/>
      <c r="Y73" s="96"/>
    </row>
    <row r="74" spans="20:25">
      <c r="T74" s="96"/>
      <c r="U74" s="96"/>
      <c r="V74" s="96"/>
      <c r="W74" s="96"/>
      <c r="X74" s="96"/>
      <c r="Y74" s="96"/>
    </row>
    <row r="75" spans="20:25">
      <c r="T75" s="96"/>
      <c r="U75" s="96"/>
      <c r="V75" s="96"/>
      <c r="W75" s="96"/>
      <c r="X75" s="96"/>
      <c r="Y75" s="96"/>
    </row>
  </sheetData>
  <mergeCells count="3">
    <mergeCell ref="A1:R1"/>
    <mergeCell ref="A17:G17"/>
    <mergeCell ref="A34:Z34"/>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B95"/>
  <sheetViews>
    <sheetView showGridLines="0" view="pageBreakPreview" zoomScale="55" zoomScaleNormal="100" zoomScaleSheetLayoutView="55" zoomScalePageLayoutView="62" workbookViewId="0">
      <selection activeCell="V40" sqref="V40"/>
    </sheetView>
  </sheetViews>
  <sheetFormatPr baseColWidth="10" defaultColWidth="11.42578125" defaultRowHeight="15"/>
  <cols>
    <col min="1" max="1" width="14.140625" style="77" customWidth="1"/>
    <col min="2" max="2" width="13.7109375" style="77" customWidth="1"/>
    <col min="3" max="3" width="19.5703125" style="77" customWidth="1"/>
    <col min="4" max="4" width="20.42578125" style="77" customWidth="1"/>
    <col min="5" max="5" width="21" style="77" customWidth="1"/>
    <col min="6" max="6" width="19.140625" style="77" bestFit="1" customWidth="1"/>
    <col min="7" max="7" width="20.85546875" style="77" customWidth="1"/>
    <col min="8" max="8" width="21.5703125" style="77" customWidth="1"/>
    <col min="9" max="9" width="22.42578125" style="77" customWidth="1"/>
    <col min="10" max="10" width="24.85546875"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7" width="11.140625" style="77" customWidth="1"/>
    <col min="18" max="18" width="13.7109375" style="77" customWidth="1"/>
    <col min="19" max="19" width="19.7109375" style="77" customWidth="1"/>
    <col min="20" max="20" width="16.140625" style="77" customWidth="1"/>
    <col min="21" max="21" width="14" style="77" customWidth="1"/>
    <col min="22" max="27" width="11.42578125" style="77"/>
    <col min="28" max="28" width="18.7109375" style="77" bestFit="1" customWidth="1"/>
    <col min="29" max="16384" width="11.42578125" style="77"/>
  </cols>
  <sheetData>
    <row r="1" spans="1:20" ht="109.5" customHeight="1">
      <c r="A1" s="1848"/>
      <c r="B1" s="1848"/>
      <c r="C1" s="1848"/>
      <c r="D1" s="1848"/>
      <c r="E1" s="1848"/>
      <c r="F1" s="1848"/>
      <c r="G1" s="1848"/>
      <c r="H1" s="1848"/>
      <c r="I1" s="1848"/>
      <c r="J1" s="1848"/>
      <c r="K1" s="1848"/>
      <c r="L1" s="1848"/>
      <c r="M1" s="1848"/>
      <c r="N1" s="1848"/>
      <c r="O1" s="1848"/>
      <c r="P1" s="1848"/>
      <c r="Q1" s="1848"/>
      <c r="R1" s="1848"/>
    </row>
    <row r="2" spans="1:20" ht="9" customHeight="1">
      <c r="A2" s="1045"/>
      <c r="B2" s="1045"/>
      <c r="C2" s="1045"/>
      <c r="D2" s="1045"/>
      <c r="E2" s="1045"/>
      <c r="F2" s="1045"/>
      <c r="G2" s="1045"/>
      <c r="H2" s="1045"/>
      <c r="I2" s="1045"/>
      <c r="J2" s="1045"/>
      <c r="K2" s="1045"/>
      <c r="L2" s="1045"/>
      <c r="M2" s="1045"/>
      <c r="N2" s="1045"/>
      <c r="O2" s="1045"/>
      <c r="P2" s="1045"/>
      <c r="Q2" s="1045"/>
      <c r="R2" s="1045"/>
    </row>
    <row r="3" spans="1:20" ht="28.5">
      <c r="A3" s="1859" t="s">
        <v>47</v>
      </c>
      <c r="B3" s="1855" t="s">
        <v>50</v>
      </c>
      <c r="C3" s="1856"/>
      <c r="D3" s="1856"/>
      <c r="E3" s="1857" t="s">
        <v>722</v>
      </c>
      <c r="F3" s="1855" t="s">
        <v>51</v>
      </c>
      <c r="G3" s="1856"/>
      <c r="H3" s="1856"/>
      <c r="I3" s="1857" t="s">
        <v>723</v>
      </c>
      <c r="J3" s="1853" t="s">
        <v>721</v>
      </c>
      <c r="K3" s="1065"/>
      <c r="L3" s="1065"/>
      <c r="M3" s="1065"/>
      <c r="N3" s="1065"/>
      <c r="O3" s="1065"/>
      <c r="P3" s="1065"/>
      <c r="Q3" s="1065"/>
      <c r="R3" s="1065"/>
      <c r="S3" s="18"/>
      <c r="T3" s="18"/>
    </row>
    <row r="4" spans="1:20" s="50" customFormat="1" ht="45" customHeight="1">
      <c r="A4" s="1860"/>
      <c r="B4" s="503" t="s">
        <v>718</v>
      </c>
      <c r="C4" s="503" t="s">
        <v>719</v>
      </c>
      <c r="D4" s="503" t="s">
        <v>720</v>
      </c>
      <c r="E4" s="1858"/>
      <c r="F4" s="330" t="s">
        <v>718</v>
      </c>
      <c r="G4" s="328" t="s">
        <v>719</v>
      </c>
      <c r="H4" s="328" t="s">
        <v>720</v>
      </c>
      <c r="I4" s="1858"/>
      <c r="J4" s="1854"/>
      <c r="K4" s="77"/>
      <c r="L4" s="77"/>
      <c r="M4" s="77"/>
      <c r="N4" s="77"/>
      <c r="O4" s="77"/>
      <c r="P4" s="77"/>
      <c r="Q4" s="77"/>
      <c r="R4" s="77"/>
      <c r="S4" s="1074"/>
    </row>
    <row r="5" spans="1:20" ht="18.75" hidden="1">
      <c r="A5" s="899">
        <v>40940</v>
      </c>
      <c r="B5" s="900">
        <v>1190787</v>
      </c>
      <c r="C5" s="268">
        <f t="shared" ref="C5:C20" si="0">D5+E5</f>
        <v>1346002</v>
      </c>
      <c r="D5" s="269">
        <v>1247260</v>
      </c>
      <c r="E5" s="1312">
        <v>98742</v>
      </c>
      <c r="F5" s="1079">
        <f t="shared" ref="F5:F13" si="1">B5+C5</f>
        <v>2536789</v>
      </c>
      <c r="G5" s="1066">
        <f t="shared" ref="G5:G23" si="2">B5/F5</f>
        <v>0.46940719153228749</v>
      </c>
      <c r="H5" s="94"/>
      <c r="I5" s="1311"/>
      <c r="J5" s="1069"/>
    </row>
    <row r="6" spans="1:20" ht="18.75" hidden="1">
      <c r="A6" s="899">
        <v>40969</v>
      </c>
      <c r="B6" s="900">
        <v>1205800</v>
      </c>
      <c r="C6" s="268">
        <f t="shared" si="0"/>
        <v>1368424</v>
      </c>
      <c r="D6" s="269">
        <v>1266851</v>
      </c>
      <c r="E6" s="1312">
        <v>101573</v>
      </c>
      <c r="F6" s="1079">
        <f t="shared" si="1"/>
        <v>2574224</v>
      </c>
      <c r="G6" s="1067">
        <f t="shared" si="2"/>
        <v>0.46841300523963725</v>
      </c>
      <c r="H6" s="94"/>
      <c r="I6" s="1311"/>
      <c r="J6" s="1069"/>
    </row>
    <row r="7" spans="1:20" ht="18.75" hidden="1">
      <c r="A7" s="899">
        <v>41000</v>
      </c>
      <c r="B7" s="900">
        <v>1211245</v>
      </c>
      <c r="C7" s="268">
        <f t="shared" si="0"/>
        <v>1377586</v>
      </c>
      <c r="D7" s="269">
        <v>1274320</v>
      </c>
      <c r="E7" s="1312">
        <v>103266</v>
      </c>
      <c r="F7" s="1079">
        <f t="shared" si="1"/>
        <v>2588831</v>
      </c>
      <c r="G7" s="1067">
        <f t="shared" si="2"/>
        <v>0.46787333742527032</v>
      </c>
      <c r="H7" s="94"/>
      <c r="I7" s="1311"/>
      <c r="J7" s="1069"/>
    </row>
    <row r="8" spans="1:20" ht="18.75" hidden="1">
      <c r="A8" s="899">
        <v>41030</v>
      </c>
      <c r="B8" s="900">
        <v>1214917</v>
      </c>
      <c r="C8" s="268">
        <f t="shared" si="0"/>
        <v>1389402</v>
      </c>
      <c r="D8" s="269">
        <v>1284028</v>
      </c>
      <c r="E8" s="1312">
        <v>105374</v>
      </c>
      <c r="F8" s="1079">
        <f t="shared" si="1"/>
        <v>2604319</v>
      </c>
      <c r="G8" s="1067">
        <f t="shared" si="2"/>
        <v>0.4665008395668887</v>
      </c>
      <c r="H8" s="94"/>
      <c r="I8" s="1311"/>
      <c r="J8" s="1069"/>
    </row>
    <row r="9" spans="1:20" ht="18.75" hidden="1">
      <c r="A9" s="899">
        <v>41061</v>
      </c>
      <c r="B9" s="900">
        <v>1223012</v>
      </c>
      <c r="C9" s="268">
        <f t="shared" si="0"/>
        <v>1403503</v>
      </c>
      <c r="D9" s="269">
        <v>1296177</v>
      </c>
      <c r="E9" s="1312">
        <v>107326</v>
      </c>
      <c r="F9" s="1079">
        <f t="shared" si="1"/>
        <v>2626515</v>
      </c>
      <c r="G9" s="1067">
        <f t="shared" si="2"/>
        <v>0.46564059219155418</v>
      </c>
      <c r="H9" s="94"/>
      <c r="I9" s="1311"/>
      <c r="J9" s="1069"/>
    </row>
    <row r="10" spans="1:20" ht="18.75" hidden="1">
      <c r="A10" s="899">
        <v>41122</v>
      </c>
      <c r="B10" s="900">
        <v>1221877</v>
      </c>
      <c r="C10" s="268">
        <f t="shared" si="0"/>
        <v>1413832</v>
      </c>
      <c r="D10" s="269">
        <v>1305287</v>
      </c>
      <c r="E10" s="1312">
        <v>108545</v>
      </c>
      <c r="F10" s="1079">
        <f t="shared" si="1"/>
        <v>2635709</v>
      </c>
      <c r="G10" s="1067">
        <f t="shared" si="2"/>
        <v>0.46358569933175475</v>
      </c>
      <c r="H10" s="94"/>
      <c r="I10" s="1311"/>
      <c r="J10" s="1069"/>
    </row>
    <row r="11" spans="1:20" ht="18.75" hidden="1">
      <c r="A11" s="899">
        <v>41153</v>
      </c>
      <c r="B11" s="900">
        <f>+'[2]IV.1.1.1 Afil. SFS RC Anual '!B9</f>
        <v>1242830</v>
      </c>
      <c r="C11" s="268">
        <f t="shared" si="0"/>
        <v>1432322</v>
      </c>
      <c r="D11" s="269">
        <v>1320947</v>
      </c>
      <c r="E11" s="1312">
        <v>111375</v>
      </c>
      <c r="F11" s="1079">
        <f t="shared" si="1"/>
        <v>2675152</v>
      </c>
      <c r="G11" s="1067">
        <f t="shared" si="2"/>
        <v>0.46458294706244729</v>
      </c>
      <c r="H11" s="94"/>
      <c r="I11" s="1311"/>
      <c r="J11" s="1069"/>
    </row>
    <row r="12" spans="1:20" ht="18.75" hidden="1">
      <c r="A12" s="899">
        <v>41183</v>
      </c>
      <c r="B12" s="379">
        <v>1229165</v>
      </c>
      <c r="C12" s="268">
        <f t="shared" si="0"/>
        <v>1430194</v>
      </c>
      <c r="D12" s="269">
        <v>1319116</v>
      </c>
      <c r="E12" s="1312">
        <v>111078</v>
      </c>
      <c r="F12" s="1079">
        <f t="shared" si="1"/>
        <v>2659359</v>
      </c>
      <c r="G12" s="1067">
        <f t="shared" si="2"/>
        <v>0.46220348587761184</v>
      </c>
      <c r="H12" s="94"/>
      <c r="I12" s="1311"/>
      <c r="J12" s="1069"/>
    </row>
    <row r="13" spans="1:20" s="141" customFormat="1" ht="18.75" hidden="1">
      <c r="A13" s="899">
        <v>41214</v>
      </c>
      <c r="B13" s="379">
        <v>1237619</v>
      </c>
      <c r="C13" s="268">
        <f t="shared" si="0"/>
        <v>1437672</v>
      </c>
      <c r="D13" s="269">
        <v>1325484</v>
      </c>
      <c r="E13" s="1312">
        <v>112188</v>
      </c>
      <c r="F13" s="1079">
        <f t="shared" si="1"/>
        <v>2675291</v>
      </c>
      <c r="G13" s="1067">
        <f t="shared" si="2"/>
        <v>0.46261098325378436</v>
      </c>
      <c r="H13" s="94"/>
      <c r="I13" s="1311"/>
      <c r="J13" s="1069"/>
      <c r="K13" s="77"/>
      <c r="L13" s="77"/>
      <c r="M13" s="77"/>
      <c r="N13" s="77"/>
      <c r="O13" s="77"/>
      <c r="P13" s="77"/>
      <c r="Q13" s="77"/>
      <c r="R13" s="77"/>
    </row>
    <row r="14" spans="1:20" ht="18.75" hidden="1">
      <c r="A14" s="899">
        <v>41244</v>
      </c>
      <c r="B14" s="379">
        <v>1242830</v>
      </c>
      <c r="C14" s="268">
        <f t="shared" si="0"/>
        <v>1445581</v>
      </c>
      <c r="D14" s="269">
        <v>1332478</v>
      </c>
      <c r="E14" s="1312">
        <v>113103</v>
      </c>
      <c r="F14" s="1079">
        <f>B14+C14</f>
        <v>2688411</v>
      </c>
      <c r="G14" s="1067">
        <f t="shared" si="2"/>
        <v>0.46229166596922866</v>
      </c>
      <c r="H14" s="94"/>
      <c r="I14" s="1311"/>
      <c r="J14" s="1069"/>
    </row>
    <row r="15" spans="1:20" ht="18.75" hidden="1">
      <c r="A15" s="899">
        <v>41275</v>
      </c>
      <c r="B15" s="379">
        <v>1240536</v>
      </c>
      <c r="C15" s="268">
        <f t="shared" si="0"/>
        <v>1450145</v>
      </c>
      <c r="D15" s="269">
        <v>1336222</v>
      </c>
      <c r="E15" s="1312">
        <v>113923</v>
      </c>
      <c r="F15" s="1079">
        <f>B15+C15</f>
        <v>2690681</v>
      </c>
      <c r="G15" s="1067">
        <f t="shared" si="2"/>
        <v>0.46104908013993484</v>
      </c>
      <c r="H15" s="94"/>
      <c r="I15" s="1311"/>
      <c r="J15" s="1069"/>
    </row>
    <row r="16" spans="1:20" ht="18.75" hidden="1">
      <c r="A16" s="899">
        <v>41306</v>
      </c>
      <c r="B16" s="379">
        <v>1249039</v>
      </c>
      <c r="C16" s="268">
        <f t="shared" si="0"/>
        <v>1459376</v>
      </c>
      <c r="D16" s="269">
        <v>1343926</v>
      </c>
      <c r="E16" s="1312">
        <v>115450</v>
      </c>
      <c r="F16" s="1079">
        <f t="shared" ref="F16:F26" si="3">+B16+D16+E16</f>
        <v>2708415</v>
      </c>
      <c r="G16" s="1067">
        <f t="shared" si="2"/>
        <v>0.46116972472830048</v>
      </c>
      <c r="H16" s="94"/>
      <c r="I16" s="1311"/>
      <c r="J16" s="1069"/>
    </row>
    <row r="17" spans="1:22" ht="18.75" hidden="1">
      <c r="A17" s="899">
        <v>41334</v>
      </c>
      <c r="B17" s="379">
        <v>1260455</v>
      </c>
      <c r="C17" s="268">
        <f t="shared" si="0"/>
        <v>1474743</v>
      </c>
      <c r="D17" s="269">
        <v>1356641</v>
      </c>
      <c r="E17" s="1312">
        <v>118102</v>
      </c>
      <c r="F17" s="1079">
        <f t="shared" si="3"/>
        <v>2735198</v>
      </c>
      <c r="G17" s="1067">
        <f t="shared" si="2"/>
        <v>0.4608276987625759</v>
      </c>
      <c r="H17" s="94"/>
      <c r="I17" s="1311"/>
      <c r="J17" s="1069"/>
    </row>
    <row r="18" spans="1:22" ht="18.75" hidden="1" customHeight="1">
      <c r="A18" s="899">
        <v>41365</v>
      </c>
      <c r="B18" s="379">
        <v>1264822</v>
      </c>
      <c r="C18" s="268">
        <f t="shared" si="0"/>
        <v>1483253</v>
      </c>
      <c r="D18" s="269">
        <v>1363526</v>
      </c>
      <c r="E18" s="1312">
        <v>119727</v>
      </c>
      <c r="F18" s="1079">
        <f t="shared" si="3"/>
        <v>2748075</v>
      </c>
      <c r="G18" s="1067">
        <f t="shared" si="2"/>
        <v>0.46025745294433373</v>
      </c>
      <c r="H18" s="94"/>
      <c r="I18" s="1311"/>
      <c r="J18" s="1069"/>
    </row>
    <row r="19" spans="1:22" ht="18.75" hidden="1">
      <c r="A19" s="899">
        <v>41395</v>
      </c>
      <c r="B19" s="379">
        <v>1277798</v>
      </c>
      <c r="C19" s="268">
        <f t="shared" si="0"/>
        <v>1502509</v>
      </c>
      <c r="D19" s="269">
        <v>1380238</v>
      </c>
      <c r="E19" s="1312">
        <v>122271</v>
      </c>
      <c r="F19" s="1079">
        <f t="shared" si="3"/>
        <v>2780307</v>
      </c>
      <c r="G19" s="1067">
        <f t="shared" si="2"/>
        <v>0.45958881519199141</v>
      </c>
      <c r="H19" s="94"/>
      <c r="I19" s="1311"/>
      <c r="J19" s="1069"/>
    </row>
    <row r="20" spans="1:22" ht="18.75" hidden="1">
      <c r="A20" s="899">
        <v>41426</v>
      </c>
      <c r="B20" s="379">
        <v>1287291</v>
      </c>
      <c r="C20" s="268">
        <f t="shared" si="0"/>
        <v>1520489</v>
      </c>
      <c r="D20" s="269">
        <v>1396021</v>
      </c>
      <c r="E20" s="1312">
        <v>124468</v>
      </c>
      <c r="F20" s="1079">
        <f t="shared" si="3"/>
        <v>2807780</v>
      </c>
      <c r="G20" s="1067">
        <f t="shared" si="2"/>
        <v>0.45847288605232606</v>
      </c>
      <c r="H20" s="94"/>
      <c r="I20" s="1311"/>
      <c r="J20" s="1069"/>
    </row>
    <row r="21" spans="1:22" ht="18.75" hidden="1">
      <c r="A21" s="899">
        <v>41456</v>
      </c>
      <c r="B21" s="379">
        <v>1291631</v>
      </c>
      <c r="C21" s="268">
        <f t="shared" ref="C21:C26" si="4">D21+E21</f>
        <v>1520712</v>
      </c>
      <c r="D21" s="269">
        <v>1394607</v>
      </c>
      <c r="E21" s="1312">
        <v>126105</v>
      </c>
      <c r="F21" s="1079">
        <f t="shared" si="3"/>
        <v>2812343</v>
      </c>
      <c r="G21" s="1067">
        <f t="shared" si="2"/>
        <v>0.45927221537344487</v>
      </c>
      <c r="H21" s="94"/>
      <c r="I21" s="1311"/>
      <c r="J21" s="1069"/>
    </row>
    <row r="22" spans="1:22" ht="18.75" hidden="1">
      <c r="A22" s="899">
        <v>41487</v>
      </c>
      <c r="B22" s="379">
        <v>1300657</v>
      </c>
      <c r="C22" s="268">
        <f t="shared" si="4"/>
        <v>1541386</v>
      </c>
      <c r="D22" s="269">
        <v>1413807</v>
      </c>
      <c r="E22" s="1312">
        <v>127579</v>
      </c>
      <c r="F22" s="1079">
        <f t="shared" si="3"/>
        <v>2842043</v>
      </c>
      <c r="G22" s="1067">
        <f t="shared" si="2"/>
        <v>0.45764859996840301</v>
      </c>
      <c r="H22" s="94"/>
      <c r="I22" s="1311"/>
      <c r="J22" s="1069"/>
    </row>
    <row r="23" spans="1:22" ht="18.75" hidden="1">
      <c r="A23" s="899">
        <v>41518</v>
      </c>
      <c r="B23" s="379">
        <v>1303324</v>
      </c>
      <c r="C23" s="268">
        <f t="shared" si="4"/>
        <v>1548470</v>
      </c>
      <c r="D23" s="269">
        <v>1419509</v>
      </c>
      <c r="E23" s="1312">
        <v>128961</v>
      </c>
      <c r="F23" s="1079">
        <f t="shared" si="3"/>
        <v>2851794</v>
      </c>
      <c r="G23" s="1067">
        <f t="shared" si="2"/>
        <v>0.45701898524227208</v>
      </c>
      <c r="H23" s="94"/>
      <c r="I23" s="1311"/>
      <c r="J23" s="1069"/>
    </row>
    <row r="24" spans="1:22" ht="18.75" hidden="1">
      <c r="A24" s="899">
        <v>41548</v>
      </c>
      <c r="B24" s="379">
        <v>1299098</v>
      </c>
      <c r="C24" s="268">
        <f t="shared" si="4"/>
        <v>1551844</v>
      </c>
      <c r="D24" s="269">
        <v>1421755</v>
      </c>
      <c r="E24" s="1312">
        <v>130089</v>
      </c>
      <c r="F24" s="1079">
        <f t="shared" si="3"/>
        <v>2850942</v>
      </c>
      <c r="G24" s="1068">
        <f>C24/B24</f>
        <v>1.1945549912323781</v>
      </c>
      <c r="H24" s="94"/>
      <c r="I24" s="1311"/>
      <c r="J24" s="1069"/>
    </row>
    <row r="25" spans="1:22" ht="18.75" hidden="1">
      <c r="A25" s="899">
        <v>41579</v>
      </c>
      <c r="B25" s="379">
        <v>1312472</v>
      </c>
      <c r="C25" s="268">
        <f t="shared" si="4"/>
        <v>1573940</v>
      </c>
      <c r="D25" s="269">
        <v>1442084</v>
      </c>
      <c r="E25" s="1312">
        <v>131856</v>
      </c>
      <c r="F25" s="1079">
        <f t="shared" si="3"/>
        <v>2886412</v>
      </c>
      <c r="G25" s="1068">
        <f>C25/B25</f>
        <v>1.199217964268952</v>
      </c>
      <c r="H25" s="94"/>
      <c r="I25" s="1311"/>
      <c r="J25" s="1069"/>
    </row>
    <row r="26" spans="1:22" ht="18.75" hidden="1">
      <c r="A26" s="899">
        <v>41609</v>
      </c>
      <c r="B26" s="379">
        <v>1297821</v>
      </c>
      <c r="C26" s="268">
        <f t="shared" si="4"/>
        <v>1561485</v>
      </c>
      <c r="D26" s="269">
        <v>1429474</v>
      </c>
      <c r="E26" s="1312">
        <v>132011</v>
      </c>
      <c r="F26" s="1079">
        <f t="shared" si="3"/>
        <v>2859306</v>
      </c>
      <c r="G26" s="1068">
        <f>C26/B26</f>
        <v>1.203158987256332</v>
      </c>
      <c r="H26" s="94"/>
      <c r="I26" s="1311"/>
      <c r="J26" s="1069"/>
    </row>
    <row r="27" spans="1:22" ht="18.75">
      <c r="A27" s="1070" t="s">
        <v>512</v>
      </c>
      <c r="B27" s="1527">
        <v>531330</v>
      </c>
      <c r="C27" s="1059">
        <v>259903</v>
      </c>
      <c r="D27" s="1059">
        <v>1282</v>
      </c>
      <c r="E27" s="1528">
        <f>B27+C27+D27</f>
        <v>792515</v>
      </c>
      <c r="F27" s="1527">
        <v>388581</v>
      </c>
      <c r="G27" s="1059">
        <v>293112</v>
      </c>
      <c r="H27" s="1059">
        <v>2973</v>
      </c>
      <c r="I27" s="1528">
        <f>F27+G27+H27</f>
        <v>684666</v>
      </c>
      <c r="J27" s="1529">
        <f>E27+I27</f>
        <v>1477181</v>
      </c>
      <c r="S27" s="284"/>
      <c r="T27" s="124"/>
      <c r="V27" s="927"/>
    </row>
    <row r="28" spans="1:22" ht="18.75">
      <c r="A28" s="1062" t="s">
        <v>486</v>
      </c>
      <c r="B28" s="900">
        <v>554588</v>
      </c>
      <c r="C28" s="269">
        <v>330370</v>
      </c>
      <c r="D28" s="269">
        <v>5444</v>
      </c>
      <c r="E28" s="1312">
        <f t="shared" ref="E28:E34" si="5">B28+C28+D28</f>
        <v>890402</v>
      </c>
      <c r="F28" s="900">
        <v>411558</v>
      </c>
      <c r="G28" s="269">
        <v>376958</v>
      </c>
      <c r="H28" s="269">
        <v>13341</v>
      </c>
      <c r="I28" s="1312">
        <f t="shared" ref="I28:I35" si="6">F28+G28+H28</f>
        <v>801857</v>
      </c>
      <c r="J28" s="1530">
        <f t="shared" ref="J28:J34" si="7">E28+I28</f>
        <v>1692259</v>
      </c>
      <c r="S28" s="284"/>
      <c r="T28" s="124"/>
      <c r="V28" s="927"/>
    </row>
    <row r="29" spans="1:22" ht="18.75">
      <c r="A29" s="1071" t="s">
        <v>434</v>
      </c>
      <c r="B29" s="900">
        <v>621549</v>
      </c>
      <c r="C29" s="269">
        <v>444129</v>
      </c>
      <c r="D29" s="269">
        <v>13199</v>
      </c>
      <c r="E29" s="1312">
        <f t="shared" si="5"/>
        <v>1078877</v>
      </c>
      <c r="F29" s="900">
        <v>458053</v>
      </c>
      <c r="G29" s="269">
        <v>518280</v>
      </c>
      <c r="H29" s="269">
        <v>33089</v>
      </c>
      <c r="I29" s="1312">
        <f t="shared" si="6"/>
        <v>1009422</v>
      </c>
      <c r="J29" s="1530">
        <f t="shared" si="7"/>
        <v>2088299</v>
      </c>
      <c r="S29" s="284"/>
      <c r="T29" s="124"/>
      <c r="V29" s="927"/>
    </row>
    <row r="30" spans="1:22" ht="18.75">
      <c r="A30" s="1062" t="s">
        <v>435</v>
      </c>
      <c r="B30" s="900">
        <v>666490</v>
      </c>
      <c r="C30" s="269">
        <v>523408</v>
      </c>
      <c r="D30" s="269">
        <v>20284</v>
      </c>
      <c r="E30" s="1312">
        <f t="shared" si="5"/>
        <v>1210182</v>
      </c>
      <c r="F30" s="900">
        <v>486371</v>
      </c>
      <c r="G30" s="269">
        <v>617395</v>
      </c>
      <c r="H30" s="269">
        <v>50135</v>
      </c>
      <c r="I30" s="1312">
        <f t="shared" si="6"/>
        <v>1153901</v>
      </c>
      <c r="J30" s="1530">
        <f t="shared" si="7"/>
        <v>2364083</v>
      </c>
      <c r="S30" s="284"/>
      <c r="T30" s="124"/>
      <c r="V30" s="927"/>
    </row>
    <row r="31" spans="1:22" ht="18.75">
      <c r="A31" s="1071" t="s">
        <v>436</v>
      </c>
      <c r="B31" s="900">
        <v>688507</v>
      </c>
      <c r="C31" s="269">
        <v>563079</v>
      </c>
      <c r="D31" s="269">
        <v>27872</v>
      </c>
      <c r="E31" s="1312">
        <f t="shared" si="5"/>
        <v>1279458</v>
      </c>
      <c r="F31" s="900">
        <v>499838</v>
      </c>
      <c r="G31" s="269">
        <v>670940</v>
      </c>
      <c r="H31" s="269">
        <v>67187</v>
      </c>
      <c r="I31" s="1312">
        <f t="shared" si="6"/>
        <v>1237965</v>
      </c>
      <c r="J31" s="1530">
        <f t="shared" si="7"/>
        <v>2517423</v>
      </c>
      <c r="S31" s="284"/>
      <c r="T31" s="124"/>
      <c r="V31" s="927"/>
    </row>
    <row r="32" spans="1:22" ht="18.75">
      <c r="A32" s="1062" t="s">
        <v>487</v>
      </c>
      <c r="B32" s="900">
        <v>719477</v>
      </c>
      <c r="C32" s="269">
        <v>607781</v>
      </c>
      <c r="D32" s="269">
        <v>33530</v>
      </c>
      <c r="E32" s="1312">
        <f t="shared" si="5"/>
        <v>1360788</v>
      </c>
      <c r="F32" s="900">
        <v>523353</v>
      </c>
      <c r="G32" s="269">
        <v>724697</v>
      </c>
      <c r="H32" s="269">
        <v>79573</v>
      </c>
      <c r="I32" s="1312">
        <f t="shared" si="6"/>
        <v>1327623</v>
      </c>
      <c r="J32" s="1530">
        <f t="shared" si="7"/>
        <v>2688411</v>
      </c>
      <c r="S32" s="284"/>
      <c r="T32" s="124"/>
      <c r="V32" s="927"/>
    </row>
    <row r="33" spans="1:22" ht="18.75">
      <c r="A33" s="1071" t="s">
        <v>546</v>
      </c>
      <c r="B33" s="900">
        <v>761550</v>
      </c>
      <c r="C33" s="269">
        <v>660882</v>
      </c>
      <c r="D33" s="269">
        <v>39966</v>
      </c>
      <c r="E33" s="1312">
        <f t="shared" si="5"/>
        <v>1462398</v>
      </c>
      <c r="F33" s="900">
        <v>557229</v>
      </c>
      <c r="G33" s="269">
        <v>788545</v>
      </c>
      <c r="H33" s="269">
        <v>92804</v>
      </c>
      <c r="I33" s="1312">
        <f t="shared" si="6"/>
        <v>1438578</v>
      </c>
      <c r="J33" s="1530">
        <f t="shared" si="7"/>
        <v>2900976</v>
      </c>
      <c r="S33" s="284"/>
      <c r="T33" s="124"/>
      <c r="V33" s="927"/>
    </row>
    <row r="34" spans="1:22" ht="18.75">
      <c r="A34" s="1062" t="s">
        <v>586</v>
      </c>
      <c r="B34" s="900">
        <v>816912</v>
      </c>
      <c r="C34" s="269">
        <v>715603</v>
      </c>
      <c r="D34" s="269">
        <v>45810</v>
      </c>
      <c r="E34" s="1312">
        <f t="shared" si="5"/>
        <v>1578325</v>
      </c>
      <c r="F34" s="900">
        <v>606074</v>
      </c>
      <c r="G34" s="269">
        <v>852938</v>
      </c>
      <c r="H34" s="269">
        <v>104262</v>
      </c>
      <c r="I34" s="1312">
        <f t="shared" si="6"/>
        <v>1563274</v>
      </c>
      <c r="J34" s="1530">
        <f t="shared" si="7"/>
        <v>3141599</v>
      </c>
      <c r="S34" s="284"/>
      <c r="T34" s="124"/>
      <c r="V34" s="927"/>
    </row>
    <row r="35" spans="1:22" ht="18.75">
      <c r="A35" s="1072" t="s">
        <v>946</v>
      </c>
      <c r="B35" s="1629">
        <v>851859</v>
      </c>
      <c r="C35" s="420">
        <v>743883</v>
      </c>
      <c r="D35" s="420">
        <v>53339</v>
      </c>
      <c r="E35" s="1630">
        <f>B35+C35+D35</f>
        <v>1649081</v>
      </c>
      <c r="F35" s="1629">
        <v>633621</v>
      </c>
      <c r="G35" s="420">
        <v>884878</v>
      </c>
      <c r="H35" s="420">
        <v>117401</v>
      </c>
      <c r="I35" s="1630">
        <f t="shared" si="6"/>
        <v>1635900</v>
      </c>
      <c r="J35" s="1631">
        <f>E35+I35</f>
        <v>3284981</v>
      </c>
      <c r="K35" s="165"/>
      <c r="L35" s="556"/>
      <c r="S35" s="284"/>
      <c r="T35" s="124"/>
      <c r="V35" s="927"/>
    </row>
    <row r="36" spans="1:22" ht="26.25" customHeight="1">
      <c r="A36" s="1852" t="s">
        <v>922</v>
      </c>
      <c r="B36" s="1852"/>
      <c r="C36" s="1852"/>
      <c r="D36" s="1852"/>
      <c r="E36" s="1852"/>
      <c r="F36" s="1852"/>
      <c r="G36" s="1852"/>
      <c r="H36" s="31"/>
      <c r="J36" s="31"/>
      <c r="K36" s="31"/>
      <c r="L36" s="31"/>
      <c r="M36" s="31"/>
      <c r="N36" s="31"/>
      <c r="O36" s="31"/>
      <c r="P36" s="31"/>
      <c r="Q36" s="31"/>
      <c r="R36" s="31"/>
      <c r="S36" s="1361"/>
    </row>
    <row r="37" spans="1:22" ht="25.5" customHeight="1">
      <c r="A37" s="31"/>
      <c r="B37" s="31"/>
      <c r="C37" s="31"/>
      <c r="D37" s="31"/>
      <c r="E37" s="31"/>
      <c r="F37" s="31"/>
      <c r="G37" s="31"/>
      <c r="H37" s="31"/>
      <c r="J37" s="31"/>
      <c r="K37" s="31"/>
      <c r="L37" s="31"/>
      <c r="M37" s="31"/>
      <c r="N37" s="31"/>
      <c r="O37" s="31"/>
      <c r="P37" s="31"/>
      <c r="Q37" s="31"/>
      <c r="R37" s="31"/>
      <c r="S37" s="944"/>
    </row>
    <row r="38" spans="1:22" ht="25.5" customHeight="1">
      <c r="A38" s="31"/>
      <c r="B38" s="31"/>
      <c r="C38" s="31"/>
      <c r="D38" s="31"/>
      <c r="E38" s="31"/>
      <c r="F38" s="31"/>
      <c r="G38" s="31"/>
      <c r="H38" s="31"/>
      <c r="J38" s="31"/>
      <c r="K38" s="31"/>
      <c r="L38" s="31"/>
      <c r="M38" s="31"/>
      <c r="N38" s="31"/>
      <c r="O38" s="31"/>
      <c r="P38" s="31"/>
      <c r="Q38" s="31"/>
      <c r="R38" s="31"/>
      <c r="S38" s="944"/>
    </row>
    <row r="39" spans="1:22" ht="25.5" customHeight="1">
      <c r="H39" s="31"/>
      <c r="J39" s="31"/>
      <c r="K39" s="31"/>
      <c r="L39" s="31"/>
      <c r="M39" s="31"/>
      <c r="N39" s="31"/>
      <c r="O39" s="31"/>
      <c r="P39" s="31"/>
      <c r="Q39" s="31"/>
      <c r="R39" s="31"/>
      <c r="S39" s="182"/>
    </row>
    <row r="40" spans="1:22" ht="25.5" customHeight="1">
      <c r="A40" s="31"/>
      <c r="B40" s="31"/>
      <c r="C40" s="31"/>
      <c r="D40" s="31"/>
      <c r="E40" s="31"/>
      <c r="F40" s="31"/>
      <c r="G40" s="31"/>
      <c r="H40" s="31"/>
      <c r="J40" s="31"/>
      <c r="K40" s="31"/>
      <c r="L40" s="31"/>
      <c r="M40" s="31"/>
      <c r="N40" s="31"/>
      <c r="O40" s="31"/>
      <c r="P40" s="31"/>
      <c r="Q40" s="31"/>
      <c r="R40" s="31"/>
      <c r="S40" s="165"/>
      <c r="T40" s="284"/>
    </row>
    <row r="41" spans="1:22" ht="25.5" customHeight="1">
      <c r="A41" s="31"/>
      <c r="B41" s="31"/>
      <c r="C41" s="31"/>
      <c r="D41" s="31"/>
      <c r="E41" s="31"/>
      <c r="F41" s="31"/>
      <c r="G41" s="31"/>
      <c r="H41" s="31"/>
      <c r="J41" s="31"/>
      <c r="K41" s="31"/>
      <c r="L41" s="31"/>
      <c r="M41" s="31"/>
      <c r="N41" s="31"/>
      <c r="O41" s="31"/>
      <c r="P41" s="31"/>
      <c r="Q41" s="31"/>
      <c r="R41" s="31"/>
      <c r="S41" s="1793"/>
      <c r="T41" s="284"/>
    </row>
    <row r="42" spans="1:22" ht="25.5" customHeight="1">
      <c r="A42" s="31"/>
      <c r="B42" s="31"/>
      <c r="C42" s="31"/>
      <c r="D42" s="31"/>
      <c r="E42" s="31"/>
      <c r="F42" s="31"/>
      <c r="G42" s="31"/>
      <c r="H42" s="31"/>
      <c r="I42" s="31"/>
      <c r="J42" s="31"/>
      <c r="K42" s="31"/>
      <c r="L42" s="31"/>
      <c r="M42" s="31"/>
      <c r="N42" s="31"/>
      <c r="O42" s="31"/>
      <c r="P42" s="31"/>
      <c r="Q42" s="31"/>
      <c r="R42" s="31"/>
      <c r="S42" s="1794"/>
      <c r="T42" s="284"/>
    </row>
    <row r="43" spans="1:22" ht="25.5" customHeight="1">
      <c r="A43" s="31"/>
      <c r="B43" s="31"/>
      <c r="C43" s="31"/>
      <c r="D43" s="31"/>
      <c r="E43" s="31"/>
      <c r="F43" s="31"/>
      <c r="G43" s="31"/>
      <c r="H43" s="31"/>
      <c r="I43" s="31"/>
      <c r="J43" s="31"/>
      <c r="K43" s="31"/>
      <c r="L43" s="31"/>
      <c r="M43" s="31"/>
      <c r="N43" s="31"/>
      <c r="O43" s="31"/>
      <c r="P43" s="31"/>
      <c r="Q43" s="31"/>
      <c r="R43" s="31"/>
      <c r="S43" s="18"/>
      <c r="T43" s="284"/>
    </row>
    <row r="44" spans="1:22" ht="25.5" customHeight="1">
      <c r="A44" s="31"/>
      <c r="B44" s="31"/>
      <c r="C44" s="31"/>
      <c r="D44" s="31"/>
      <c r="E44" s="31"/>
      <c r="F44" s="31"/>
      <c r="G44" s="31"/>
      <c r="H44" s="31"/>
      <c r="I44" s="31"/>
      <c r="J44" s="31"/>
      <c r="K44" s="31"/>
      <c r="L44" s="31"/>
      <c r="M44" s="31"/>
      <c r="N44" s="31"/>
      <c r="O44" s="31"/>
      <c r="P44" s="31"/>
      <c r="Q44" s="31"/>
      <c r="R44" s="31"/>
      <c r="S44" s="284"/>
      <c r="T44" s="284"/>
    </row>
    <row r="45" spans="1:22" ht="25.5" customHeight="1">
      <c r="A45" s="31"/>
      <c r="B45" s="31"/>
      <c r="C45" s="31"/>
      <c r="D45" s="31"/>
      <c r="E45" s="31"/>
      <c r="F45" s="31"/>
      <c r="G45" s="31"/>
      <c r="H45" s="31"/>
      <c r="I45" s="31"/>
      <c r="J45" s="31"/>
      <c r="K45" s="31"/>
      <c r="L45" s="31"/>
      <c r="M45" s="31"/>
      <c r="N45" s="31"/>
      <c r="O45" s="31"/>
      <c r="P45" s="31"/>
      <c r="Q45" s="31"/>
      <c r="R45" s="31"/>
      <c r="S45" s="284"/>
      <c r="T45" s="284"/>
    </row>
    <row r="46" spans="1:22" ht="25.5" customHeight="1">
      <c r="A46" s="31"/>
      <c r="B46" s="31"/>
      <c r="C46" s="31"/>
      <c r="D46" s="31"/>
      <c r="E46" s="31"/>
      <c r="F46" s="31"/>
      <c r="G46" s="31"/>
      <c r="H46" s="31"/>
      <c r="I46" s="31"/>
      <c r="J46" s="31"/>
      <c r="K46" s="31"/>
      <c r="L46" s="31"/>
      <c r="M46" s="31"/>
      <c r="N46" s="31"/>
      <c r="O46" s="31"/>
      <c r="P46" s="31"/>
      <c r="Q46" s="31"/>
      <c r="R46" s="31"/>
      <c r="S46" s="284"/>
      <c r="T46" s="284"/>
    </row>
    <row r="47" spans="1:22" ht="25.5" customHeight="1">
      <c r="A47" s="31"/>
      <c r="B47" s="31"/>
      <c r="C47" s="31"/>
      <c r="D47" s="31"/>
      <c r="E47" s="31"/>
      <c r="F47" s="31"/>
      <c r="G47" s="31"/>
      <c r="H47" s="31"/>
      <c r="I47" s="31"/>
      <c r="J47" s="31"/>
      <c r="K47" s="31"/>
      <c r="L47" s="31"/>
      <c r="M47" s="31"/>
      <c r="N47" s="31"/>
      <c r="O47" s="31"/>
      <c r="P47" s="31"/>
      <c r="Q47" s="31"/>
      <c r="R47" s="31"/>
      <c r="S47" s="284"/>
      <c r="T47" s="284"/>
    </row>
    <row r="48" spans="1:22" ht="25.5" customHeight="1">
      <c r="A48" s="31"/>
      <c r="B48" s="31"/>
      <c r="C48" s="31"/>
      <c r="D48" s="31"/>
      <c r="E48" s="31"/>
      <c r="F48" s="31"/>
      <c r="G48" s="31"/>
      <c r="H48" s="31"/>
      <c r="I48" s="31"/>
      <c r="J48" s="31"/>
      <c r="K48" s="31"/>
      <c r="L48" s="31"/>
      <c r="M48" s="31"/>
      <c r="N48" s="31"/>
      <c r="O48" s="31"/>
      <c r="P48" s="31"/>
      <c r="Q48" s="31"/>
      <c r="R48" s="31"/>
      <c r="S48" s="284"/>
      <c r="T48" s="284"/>
    </row>
    <row r="49" spans="1:28">
      <c r="O49" s="95"/>
      <c r="P49" s="95"/>
      <c r="Q49" s="95"/>
      <c r="R49" s="95"/>
      <c r="S49" s="284"/>
      <c r="T49" s="96"/>
      <c r="U49" s="96"/>
      <c r="V49" s="96"/>
      <c r="W49" s="96"/>
      <c r="X49" s="96"/>
      <c r="Y49" s="96"/>
      <c r="Z49" s="96"/>
      <c r="AA49" s="96"/>
      <c r="AB49" s="96"/>
    </row>
    <row r="50" spans="1:28">
      <c r="O50" s="95"/>
      <c r="P50" s="95"/>
      <c r="Q50" s="95"/>
      <c r="R50" s="95"/>
      <c r="S50" s="284"/>
      <c r="T50" s="96"/>
      <c r="U50" s="96"/>
      <c r="V50" s="96"/>
      <c r="W50" s="96"/>
      <c r="X50" s="96"/>
      <c r="Y50" s="96"/>
      <c r="Z50" s="96"/>
      <c r="AA50" s="96"/>
      <c r="AB50" s="96"/>
    </row>
    <row r="51" spans="1:28">
      <c r="O51" s="95"/>
      <c r="P51" s="95"/>
      <c r="Q51" s="95"/>
      <c r="R51" s="95"/>
      <c r="S51" s="96"/>
      <c r="T51" s="96"/>
      <c r="U51" s="96"/>
      <c r="V51" s="96"/>
      <c r="W51" s="96"/>
      <c r="X51" s="96"/>
      <c r="Y51" s="96"/>
      <c r="Z51" s="96"/>
      <c r="AA51" s="96"/>
      <c r="AB51" s="96"/>
    </row>
    <row r="52" spans="1:28">
      <c r="O52" s="95"/>
      <c r="P52" s="95"/>
      <c r="Q52" s="95"/>
      <c r="R52" s="95"/>
      <c r="S52" s="96"/>
      <c r="T52" s="96"/>
      <c r="U52" s="96"/>
      <c r="V52" s="96"/>
      <c r="W52" s="96"/>
      <c r="X52" s="96"/>
      <c r="Y52" s="96"/>
      <c r="Z52" s="96"/>
      <c r="AA52" s="96"/>
      <c r="AB52" s="96"/>
    </row>
    <row r="53" spans="1:28" ht="51" customHeight="1">
      <c r="O53" s="95"/>
      <c r="P53" s="95"/>
      <c r="Q53" s="95"/>
      <c r="R53" s="95"/>
      <c r="S53" s="96"/>
      <c r="T53" s="96"/>
      <c r="U53" s="18"/>
      <c r="V53" s="18"/>
      <c r="W53" s="96"/>
      <c r="X53" s="96"/>
      <c r="Y53" s="96"/>
      <c r="Z53" s="96"/>
      <c r="AA53" s="96"/>
      <c r="AB53" s="96"/>
    </row>
    <row r="54" spans="1:28" ht="78" customHeight="1">
      <c r="A54" s="1834"/>
      <c r="B54" s="1834"/>
      <c r="C54" s="1834"/>
      <c r="D54" s="1834"/>
      <c r="E54" s="1834"/>
      <c r="F54" s="1834"/>
      <c r="G54" s="1834"/>
      <c r="H54" s="1834"/>
      <c r="I54" s="1834"/>
      <c r="J54" s="1834"/>
      <c r="K54" s="1834"/>
      <c r="L54" s="1834"/>
      <c r="M54" s="1834"/>
      <c r="N54" s="1834"/>
      <c r="O54" s="1834"/>
      <c r="P54" s="1834"/>
      <c r="Q54" s="1834"/>
      <c r="R54" s="1834"/>
      <c r="S54" s="1834"/>
      <c r="T54" s="1834"/>
      <c r="U54" s="1834"/>
      <c r="V54" s="1834"/>
      <c r="W54" s="1834"/>
      <c r="X54" s="1834"/>
      <c r="Y54" s="1834"/>
      <c r="Z54" s="1834"/>
      <c r="AA54" s="96"/>
      <c r="AB54" s="96"/>
    </row>
    <row r="55" spans="1:28">
      <c r="O55" s="96"/>
      <c r="P55" s="96"/>
      <c r="Q55" s="96"/>
      <c r="R55" s="96"/>
      <c r="S55" s="96"/>
    </row>
    <row r="56" spans="1:28">
      <c r="O56" s="96"/>
      <c r="P56" s="96"/>
      <c r="Q56" s="96"/>
      <c r="R56" s="96"/>
      <c r="S56" s="96"/>
    </row>
    <row r="57" spans="1:28">
      <c r="O57" s="96"/>
      <c r="P57" s="96"/>
      <c r="Q57" s="96"/>
      <c r="R57" s="96"/>
      <c r="S57" s="96"/>
    </row>
    <row r="58" spans="1:28">
      <c r="O58" s="96"/>
      <c r="P58" s="96"/>
      <c r="Q58" s="96"/>
      <c r="R58" s="96"/>
      <c r="S58" s="96"/>
    </row>
    <row r="59" spans="1:28">
      <c r="O59" s="96"/>
      <c r="P59" s="96"/>
      <c r="Q59" s="96"/>
      <c r="R59" s="96"/>
      <c r="S59" s="96"/>
    </row>
    <row r="60" spans="1:28">
      <c r="O60" s="96"/>
      <c r="P60" s="96"/>
      <c r="Q60" s="96"/>
      <c r="R60" s="96"/>
      <c r="S60" s="96"/>
      <c r="T60" s="96"/>
      <c r="U60" s="96"/>
      <c r="V60" s="96"/>
      <c r="W60" s="96"/>
      <c r="X60" s="96"/>
      <c r="Y60" s="96"/>
      <c r="Z60" s="96"/>
      <c r="AA60" s="96"/>
      <c r="AB60" s="96"/>
    </row>
    <row r="61" spans="1:28">
      <c r="O61" s="96"/>
      <c r="P61" s="96"/>
      <c r="Q61" s="96"/>
      <c r="R61" s="96"/>
      <c r="S61" s="96"/>
      <c r="T61" s="96"/>
      <c r="U61" s="96"/>
      <c r="V61" s="96"/>
      <c r="W61" s="96"/>
      <c r="X61" s="96"/>
      <c r="Y61" s="96"/>
      <c r="Z61" s="96"/>
      <c r="AA61" s="96"/>
      <c r="AB61" s="96"/>
    </row>
    <row r="62" spans="1:28">
      <c r="O62" s="96"/>
      <c r="P62" s="96"/>
      <c r="Q62" s="96"/>
      <c r="R62" s="96"/>
      <c r="S62" s="96"/>
      <c r="T62" s="96"/>
      <c r="U62" s="96"/>
      <c r="V62" s="96"/>
      <c r="W62" s="96"/>
      <c r="X62" s="96"/>
      <c r="Y62" s="96"/>
      <c r="Z62" s="96"/>
      <c r="AA62" s="96"/>
      <c r="AB62" s="96"/>
    </row>
    <row r="75" spans="20:25">
      <c r="T75" s="96"/>
      <c r="U75" s="96"/>
      <c r="V75" s="96"/>
      <c r="W75" s="96"/>
      <c r="X75" s="96"/>
      <c r="Y75" s="96"/>
    </row>
    <row r="76" spans="20:25">
      <c r="T76" s="96"/>
      <c r="U76" s="96"/>
      <c r="V76" s="96"/>
      <c r="W76" s="96"/>
      <c r="X76" s="96"/>
      <c r="Y76" s="96"/>
    </row>
    <row r="77" spans="20:25">
      <c r="T77" s="96"/>
      <c r="U77" s="96"/>
      <c r="V77" s="96"/>
      <c r="W77" s="96"/>
      <c r="X77" s="96"/>
      <c r="Y77" s="96"/>
    </row>
    <row r="78" spans="20:25">
      <c r="T78" s="96"/>
      <c r="U78" s="96"/>
      <c r="V78" s="96"/>
      <c r="W78" s="96"/>
      <c r="X78" s="96"/>
      <c r="Y78" s="96"/>
    </row>
    <row r="79" spans="20:25">
      <c r="T79" s="96"/>
      <c r="U79" s="96"/>
      <c r="V79" s="96"/>
      <c r="W79" s="96"/>
      <c r="X79" s="96"/>
      <c r="Y79" s="96"/>
    </row>
    <row r="80" spans="20:25">
      <c r="T80" s="96"/>
      <c r="U80" s="96"/>
      <c r="V80" s="96"/>
      <c r="W80" s="96"/>
      <c r="X80" s="96"/>
      <c r="Y80" s="96"/>
    </row>
    <row r="81" spans="20:25">
      <c r="T81" s="96"/>
      <c r="U81" s="96"/>
      <c r="V81" s="96"/>
      <c r="W81" s="96"/>
      <c r="X81" s="96"/>
      <c r="Y81" s="96"/>
    </row>
    <row r="82" spans="20:25">
      <c r="T82" s="96"/>
      <c r="U82" s="96"/>
      <c r="V82" s="96"/>
      <c r="W82" s="96"/>
      <c r="X82" s="96"/>
      <c r="Y82" s="96"/>
    </row>
    <row r="92" spans="20:25">
      <c r="T92" s="96"/>
      <c r="U92" s="96"/>
      <c r="V92" s="96"/>
      <c r="W92" s="96"/>
      <c r="X92" s="96"/>
      <c r="Y92" s="96"/>
    </row>
    <row r="93" spans="20:25">
      <c r="T93" s="96"/>
      <c r="U93" s="96"/>
      <c r="V93" s="96"/>
      <c r="W93" s="96"/>
      <c r="X93" s="96"/>
      <c r="Y93" s="96"/>
    </row>
    <row r="94" spans="20:25">
      <c r="T94" s="96"/>
      <c r="U94" s="96"/>
      <c r="V94" s="96"/>
      <c r="W94" s="96"/>
      <c r="X94" s="96"/>
      <c r="Y94" s="96"/>
    </row>
    <row r="95" spans="20:25">
      <c r="T95" s="96"/>
      <c r="U95" s="96"/>
      <c r="V95" s="96"/>
      <c r="W95" s="96"/>
      <c r="X95" s="96"/>
      <c r="Y95" s="96"/>
    </row>
  </sheetData>
  <mergeCells count="9">
    <mergeCell ref="A1:R1"/>
    <mergeCell ref="A36:G36"/>
    <mergeCell ref="A54:Z54"/>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N40"/>
  <sheetViews>
    <sheetView showGridLines="0" view="pageBreakPreview" zoomScale="70" zoomScaleNormal="70" zoomScaleSheetLayoutView="70" workbookViewId="0">
      <selection activeCell="N10" sqref="N10"/>
    </sheetView>
  </sheetViews>
  <sheetFormatPr baseColWidth="10" defaultRowHeight="15"/>
  <cols>
    <col min="1" max="7" width="11.42578125" style="77"/>
    <col min="8" max="8" width="11.42578125" style="77" customWidth="1"/>
    <col min="9" max="9" width="28.140625" style="77" customWidth="1"/>
    <col min="10" max="10" width="20.42578125" style="77" customWidth="1"/>
    <col min="11" max="12" width="14.7109375" style="77" customWidth="1"/>
    <col min="13" max="13" width="15.28515625" style="77" customWidth="1"/>
    <col min="14" max="16384" width="11.42578125" style="77"/>
  </cols>
  <sheetData>
    <row r="1" spans="1:14">
      <c r="A1" s="1828"/>
      <c r="B1" s="1828"/>
      <c r="C1" s="1828"/>
      <c r="D1" s="1828"/>
      <c r="E1" s="1828"/>
      <c r="F1" s="1828"/>
      <c r="G1" s="1828"/>
      <c r="H1" s="1828"/>
      <c r="I1" s="1828"/>
      <c r="J1" s="1828"/>
      <c r="K1" s="1828"/>
      <c r="L1" s="1828"/>
      <c r="M1" s="1828"/>
      <c r="N1" s="94"/>
    </row>
    <row r="2" spans="1:14">
      <c r="A2" s="1828"/>
      <c r="B2" s="1828"/>
      <c r="C2" s="1828"/>
      <c r="D2" s="1828"/>
      <c r="E2" s="1828"/>
      <c r="F2" s="1828"/>
      <c r="G2" s="1828"/>
      <c r="H2" s="1828"/>
      <c r="I2" s="1828"/>
      <c r="J2" s="1828"/>
      <c r="K2" s="1828"/>
      <c r="L2" s="1828"/>
      <c r="M2" s="1828"/>
      <c r="N2" s="94"/>
    </row>
    <row r="3" spans="1:14">
      <c r="A3" s="1828"/>
      <c r="B3" s="1828"/>
      <c r="C3" s="1828"/>
      <c r="D3" s="1828"/>
      <c r="E3" s="1828"/>
      <c r="F3" s="1828"/>
      <c r="G3" s="1828"/>
      <c r="H3" s="1828"/>
      <c r="I3" s="1828"/>
      <c r="J3" s="1828"/>
      <c r="K3" s="1828"/>
      <c r="L3" s="1828"/>
      <c r="M3" s="1828"/>
      <c r="N3" s="94"/>
    </row>
    <row r="4" spans="1:14">
      <c r="A4" s="1828"/>
      <c r="B4" s="1828"/>
      <c r="C4" s="1828"/>
      <c r="D4" s="1828"/>
      <c r="E4" s="1828"/>
      <c r="F4" s="1828"/>
      <c r="G4" s="1828"/>
      <c r="H4" s="1828"/>
      <c r="I4" s="1828"/>
      <c r="J4" s="1828"/>
      <c r="K4" s="1828"/>
      <c r="L4" s="1828"/>
      <c r="M4" s="1828"/>
      <c r="N4" s="94"/>
    </row>
    <row r="5" spans="1:14">
      <c r="A5" s="1828"/>
      <c r="B5" s="1828"/>
      <c r="C5" s="1828"/>
      <c r="D5" s="1828"/>
      <c r="E5" s="1828"/>
      <c r="F5" s="1828"/>
      <c r="G5" s="1828"/>
      <c r="H5" s="1828"/>
      <c r="I5" s="1828"/>
      <c r="J5" s="1828"/>
      <c r="K5" s="1828"/>
      <c r="L5" s="1828"/>
      <c r="M5" s="1828"/>
      <c r="N5" s="94"/>
    </row>
    <row r="6" spans="1:14">
      <c r="A6" s="1828"/>
      <c r="B6" s="1828"/>
      <c r="C6" s="1828"/>
      <c r="D6" s="1828"/>
      <c r="E6" s="1828"/>
      <c r="F6" s="1828"/>
      <c r="G6" s="1828"/>
      <c r="H6" s="1828"/>
      <c r="I6" s="1828"/>
      <c r="J6" s="1828"/>
      <c r="K6" s="1828"/>
      <c r="L6" s="1828"/>
      <c r="M6" s="1828"/>
      <c r="N6" s="94"/>
    </row>
    <row r="7" spans="1:14" ht="47.25" customHeight="1">
      <c r="A7" s="1828"/>
      <c r="B7" s="1828"/>
      <c r="C7" s="1828"/>
      <c r="D7" s="1828"/>
      <c r="E7" s="1828"/>
      <c r="F7" s="1828"/>
      <c r="G7" s="1828"/>
      <c r="H7" s="1828"/>
      <c r="I7" s="1828"/>
      <c r="J7" s="1828"/>
      <c r="K7" s="1828"/>
      <c r="L7" s="1828"/>
      <c r="M7" s="1828"/>
      <c r="N7" s="94"/>
    </row>
    <row r="8" spans="1:14">
      <c r="A8" s="1828"/>
      <c r="B8" s="1828"/>
      <c r="C8" s="1828"/>
      <c r="D8" s="1828"/>
      <c r="E8" s="1828"/>
      <c r="F8" s="1828"/>
      <c r="G8" s="1828"/>
      <c r="H8" s="1828"/>
      <c r="I8" s="1828"/>
      <c r="J8" s="1828"/>
      <c r="K8" s="1828"/>
      <c r="L8" s="1828"/>
      <c r="M8" s="1828"/>
      <c r="N8" s="94"/>
    </row>
    <row r="9" spans="1:14">
      <c r="A9" s="1828"/>
      <c r="B9" s="1828"/>
      <c r="C9" s="1828"/>
      <c r="D9" s="1828"/>
      <c r="E9" s="1828"/>
      <c r="F9" s="1828"/>
      <c r="G9" s="1828"/>
      <c r="H9" s="1828"/>
      <c r="I9" s="1828"/>
      <c r="J9" s="1828"/>
      <c r="K9" s="1828"/>
      <c r="L9" s="1828"/>
      <c r="M9" s="1828"/>
      <c r="N9" s="94"/>
    </row>
    <row r="10" spans="1:14" ht="38.25" customHeight="1">
      <c r="A10" s="1828"/>
      <c r="B10" s="1828"/>
      <c r="C10" s="1828"/>
      <c r="D10" s="1828"/>
      <c r="E10" s="1828"/>
      <c r="F10" s="1828"/>
      <c r="G10" s="1828"/>
      <c r="H10" s="1828"/>
      <c r="I10" s="1828"/>
      <c r="J10" s="1828"/>
      <c r="K10" s="1828"/>
      <c r="L10" s="1828"/>
      <c r="M10" s="1828"/>
      <c r="N10" s="94"/>
    </row>
    <row r="11" spans="1:14">
      <c r="A11" s="1828"/>
      <c r="B11" s="1828"/>
      <c r="C11" s="1828"/>
      <c r="D11" s="1828"/>
      <c r="E11" s="1828"/>
      <c r="F11" s="1828"/>
      <c r="G11" s="1828"/>
      <c r="H11" s="1828"/>
      <c r="I11" s="1828"/>
      <c r="J11" s="1828"/>
      <c r="K11" s="1828"/>
      <c r="L11" s="1828"/>
      <c r="M11" s="1828"/>
      <c r="N11" s="94"/>
    </row>
    <row r="12" spans="1:14">
      <c r="A12" s="1828"/>
      <c r="B12" s="1828"/>
      <c r="C12" s="1828"/>
      <c r="D12" s="1828"/>
      <c r="E12" s="1828"/>
      <c r="F12" s="1828"/>
      <c r="G12" s="1828"/>
      <c r="H12" s="1828"/>
      <c r="I12" s="1828"/>
      <c r="J12" s="1828"/>
      <c r="K12" s="1828"/>
      <c r="L12" s="1828"/>
      <c r="M12" s="1828"/>
      <c r="N12" s="94"/>
    </row>
    <row r="13" spans="1:14">
      <c r="A13" s="1828"/>
      <c r="B13" s="1828"/>
      <c r="C13" s="1828"/>
      <c r="D13" s="1828"/>
      <c r="E13" s="1828"/>
      <c r="F13" s="1828"/>
      <c r="G13" s="1828"/>
      <c r="H13" s="1828"/>
      <c r="I13" s="1828"/>
      <c r="J13" s="1828"/>
      <c r="K13" s="1828"/>
      <c r="L13" s="1828"/>
      <c r="M13" s="1828"/>
      <c r="N13" s="94"/>
    </row>
    <row r="14" spans="1:14">
      <c r="A14" s="1828"/>
      <c r="B14" s="1828"/>
      <c r="C14" s="1828"/>
      <c r="D14" s="1828"/>
      <c r="E14" s="1828"/>
      <c r="F14" s="1828"/>
      <c r="G14" s="1828"/>
      <c r="H14" s="1828"/>
      <c r="I14" s="1828"/>
      <c r="J14" s="1828"/>
      <c r="K14" s="1828"/>
      <c r="L14" s="1828"/>
      <c r="M14" s="1828"/>
      <c r="N14" s="94"/>
    </row>
    <row r="15" spans="1:14">
      <c r="A15" s="1828"/>
      <c r="B15" s="1828"/>
      <c r="C15" s="1828"/>
      <c r="D15" s="1828"/>
      <c r="E15" s="1828"/>
      <c r="F15" s="1828"/>
      <c r="G15" s="1828"/>
      <c r="H15" s="1828"/>
      <c r="I15" s="1828"/>
      <c r="J15" s="1828"/>
      <c r="K15" s="1828"/>
      <c r="L15" s="1828"/>
      <c r="M15" s="1828"/>
      <c r="N15" s="94"/>
    </row>
    <row r="16" spans="1:14">
      <c r="A16" s="1828"/>
      <c r="B16" s="1828"/>
      <c r="C16" s="1828"/>
      <c r="D16" s="1828"/>
      <c r="E16" s="1828"/>
      <c r="F16" s="1828"/>
      <c r="G16" s="1828"/>
      <c r="H16" s="1828"/>
      <c r="I16" s="1828"/>
      <c r="J16" s="1828"/>
      <c r="K16" s="1828"/>
      <c r="L16" s="1828"/>
      <c r="M16" s="1828"/>
      <c r="N16" s="94"/>
    </row>
    <row r="17" spans="1:14">
      <c r="A17" s="1828"/>
      <c r="B17" s="1828"/>
      <c r="C17" s="1828"/>
      <c r="D17" s="1828"/>
      <c r="E17" s="1828"/>
      <c r="F17" s="1828"/>
      <c r="G17" s="1828"/>
      <c r="H17" s="1828"/>
      <c r="I17" s="1828"/>
      <c r="J17" s="1828"/>
      <c r="K17" s="1828"/>
      <c r="L17" s="1828"/>
      <c r="M17" s="1828"/>
      <c r="N17" s="94"/>
    </row>
    <row r="18" spans="1:14">
      <c r="A18" s="1828"/>
      <c r="B18" s="1828"/>
      <c r="C18" s="1828"/>
      <c r="D18" s="1828"/>
      <c r="E18" s="1828"/>
      <c r="F18" s="1828"/>
      <c r="G18" s="1828"/>
      <c r="H18" s="1828"/>
      <c r="I18" s="1828"/>
      <c r="J18" s="1828"/>
      <c r="K18" s="1828"/>
      <c r="L18" s="1828"/>
      <c r="M18" s="1828"/>
      <c r="N18" s="94"/>
    </row>
    <row r="19" spans="1:14">
      <c r="A19" s="1828"/>
      <c r="B19" s="1828"/>
      <c r="C19" s="1828"/>
      <c r="D19" s="1828"/>
      <c r="E19" s="1828"/>
      <c r="F19" s="1828"/>
      <c r="G19" s="1828"/>
      <c r="H19" s="1828"/>
      <c r="I19" s="1828"/>
      <c r="J19" s="1828"/>
      <c r="K19" s="1828"/>
      <c r="L19" s="1828"/>
      <c r="M19" s="1828"/>
      <c r="N19" s="94"/>
    </row>
    <row r="20" spans="1:14">
      <c r="A20" s="1828"/>
      <c r="B20" s="1828"/>
      <c r="C20" s="1828"/>
      <c r="D20" s="1828"/>
      <c r="E20" s="1828"/>
      <c r="F20" s="1828"/>
      <c r="G20" s="1828"/>
      <c r="H20" s="1828"/>
      <c r="I20" s="1828"/>
      <c r="J20" s="1828"/>
      <c r="K20" s="1828"/>
      <c r="L20" s="1828"/>
      <c r="M20" s="1828"/>
      <c r="N20" s="94"/>
    </row>
    <row r="21" spans="1:14">
      <c r="A21" s="1828"/>
      <c r="B21" s="1828"/>
      <c r="C21" s="1828"/>
      <c r="D21" s="1828"/>
      <c r="E21" s="1828"/>
      <c r="F21" s="1828"/>
      <c r="G21" s="1828"/>
      <c r="H21" s="1828"/>
      <c r="I21" s="1828"/>
      <c r="J21" s="1828"/>
      <c r="K21" s="1828"/>
      <c r="L21" s="1828"/>
      <c r="M21" s="1828"/>
      <c r="N21" s="94"/>
    </row>
    <row r="22" spans="1:14">
      <c r="A22" s="1828"/>
      <c r="B22" s="1828"/>
      <c r="C22" s="1828"/>
      <c r="D22" s="1828"/>
      <c r="E22" s="1828"/>
      <c r="F22" s="1828"/>
      <c r="G22" s="1828"/>
      <c r="H22" s="1828"/>
      <c r="I22" s="1828"/>
      <c r="J22" s="1828"/>
      <c r="K22" s="1828"/>
      <c r="L22" s="1828"/>
      <c r="M22" s="1828"/>
      <c r="N22" s="94"/>
    </row>
    <row r="23" spans="1:14">
      <c r="A23" s="1828"/>
      <c r="B23" s="1828"/>
      <c r="C23" s="1828"/>
      <c r="D23" s="1828"/>
      <c r="E23" s="1828"/>
      <c r="F23" s="1828"/>
      <c r="G23" s="1828"/>
      <c r="H23" s="1828"/>
      <c r="I23" s="1828"/>
      <c r="J23" s="1828"/>
      <c r="K23" s="1828"/>
      <c r="L23" s="1828"/>
      <c r="M23" s="1828"/>
      <c r="N23" s="94"/>
    </row>
    <row r="24" spans="1:14">
      <c r="A24" s="1828"/>
      <c r="B24" s="1828"/>
      <c r="C24" s="1828"/>
      <c r="D24" s="1828"/>
      <c r="E24" s="1828"/>
      <c r="F24" s="1828"/>
      <c r="G24" s="1828"/>
      <c r="H24" s="1828"/>
      <c r="I24" s="1828"/>
      <c r="J24" s="1828"/>
      <c r="K24" s="1828"/>
      <c r="L24" s="1828"/>
      <c r="M24" s="1828"/>
      <c r="N24" s="94"/>
    </row>
    <row r="25" spans="1:14">
      <c r="A25" s="1828"/>
      <c r="B25" s="1828"/>
      <c r="C25" s="1828"/>
      <c r="D25" s="1828"/>
      <c r="E25" s="1828"/>
      <c r="F25" s="1828"/>
      <c r="G25" s="1828"/>
      <c r="H25" s="1828"/>
      <c r="I25" s="1828"/>
      <c r="J25" s="1828"/>
      <c r="K25" s="1828"/>
      <c r="L25" s="1828"/>
      <c r="M25" s="1828"/>
      <c r="N25" s="94"/>
    </row>
    <row r="26" spans="1:14">
      <c r="A26" s="1828"/>
      <c r="B26" s="1828"/>
      <c r="C26" s="1828"/>
      <c r="D26" s="1828"/>
      <c r="E26" s="1828"/>
      <c r="F26" s="1828"/>
      <c r="G26" s="1828"/>
      <c r="H26" s="1828"/>
      <c r="I26" s="1828"/>
      <c r="J26" s="1828"/>
      <c r="K26" s="1828"/>
      <c r="L26" s="1828"/>
      <c r="M26" s="1828"/>
      <c r="N26" s="94"/>
    </row>
    <row r="27" spans="1:14">
      <c r="A27" s="1828"/>
      <c r="B27" s="1828"/>
      <c r="C27" s="1828"/>
      <c r="D27" s="1828"/>
      <c r="E27" s="1828"/>
      <c r="F27" s="1828"/>
      <c r="G27" s="1828"/>
      <c r="H27" s="1828"/>
      <c r="I27" s="1828"/>
      <c r="J27" s="1828"/>
      <c r="K27" s="1828"/>
      <c r="L27" s="1828"/>
      <c r="M27" s="1828"/>
      <c r="N27" s="94"/>
    </row>
    <row r="28" spans="1:14">
      <c r="A28" s="1828"/>
      <c r="B28" s="1828"/>
      <c r="C28" s="1828"/>
      <c r="D28" s="1828"/>
      <c r="E28" s="1828"/>
      <c r="F28" s="1828"/>
      <c r="G28" s="1828"/>
      <c r="H28" s="1828"/>
      <c r="I28" s="1828"/>
      <c r="J28" s="1828"/>
      <c r="K28" s="1828"/>
      <c r="L28" s="1828"/>
      <c r="M28" s="1828"/>
      <c r="N28" s="94"/>
    </row>
    <row r="29" spans="1:14">
      <c r="A29" s="1828"/>
      <c r="B29" s="1828"/>
      <c r="C29" s="1828"/>
      <c r="D29" s="1828"/>
      <c r="E29" s="1828"/>
      <c r="F29" s="1828"/>
      <c r="G29" s="1828"/>
      <c r="H29" s="1828"/>
      <c r="I29" s="1828"/>
      <c r="J29" s="1828"/>
      <c r="K29" s="1828"/>
      <c r="L29" s="1828"/>
      <c r="M29" s="1828"/>
      <c r="N29" s="94"/>
    </row>
    <row r="30" spans="1:14">
      <c r="A30" s="1828"/>
      <c r="B30" s="1828"/>
      <c r="C30" s="1828"/>
      <c r="D30" s="1828"/>
      <c r="E30" s="1828"/>
      <c r="F30" s="1828"/>
      <c r="G30" s="1828"/>
      <c r="H30" s="1828"/>
      <c r="I30" s="1828"/>
      <c r="J30" s="1828"/>
      <c r="K30" s="1828"/>
      <c r="L30" s="1828"/>
      <c r="M30" s="1828"/>
      <c r="N30" s="94"/>
    </row>
    <row r="31" spans="1:14">
      <c r="A31" s="1828"/>
      <c r="B31" s="1828"/>
      <c r="C31" s="1828"/>
      <c r="D31" s="1828"/>
      <c r="E31" s="1828"/>
      <c r="F31" s="1828"/>
      <c r="G31" s="1828"/>
      <c r="H31" s="1828"/>
      <c r="I31" s="1828"/>
      <c r="J31" s="1828"/>
      <c r="K31" s="1828"/>
      <c r="L31" s="1828"/>
      <c r="M31" s="1828"/>
      <c r="N31" s="94"/>
    </row>
    <row r="32" spans="1:14">
      <c r="A32" s="1828"/>
      <c r="B32" s="1828"/>
      <c r="C32" s="1828"/>
      <c r="D32" s="1828"/>
      <c r="E32" s="1828"/>
      <c r="F32" s="1828"/>
      <c r="G32" s="1828"/>
      <c r="H32" s="1828"/>
      <c r="I32" s="1828"/>
      <c r="J32" s="1828"/>
      <c r="K32" s="1828"/>
      <c r="L32" s="1828"/>
      <c r="M32" s="1828"/>
      <c r="N32" s="94"/>
    </row>
    <row r="33" spans="1:14">
      <c r="A33" s="1828"/>
      <c r="B33" s="1828"/>
      <c r="C33" s="1828"/>
      <c r="D33" s="1828"/>
      <c r="E33" s="1828"/>
      <c r="F33" s="1828"/>
      <c r="G33" s="1828"/>
      <c r="H33" s="1828"/>
      <c r="I33" s="1828"/>
      <c r="J33" s="1828"/>
      <c r="K33" s="1828"/>
      <c r="L33" s="1828"/>
      <c r="M33" s="1828"/>
      <c r="N33" s="94"/>
    </row>
    <row r="34" spans="1:14">
      <c r="A34" s="1828"/>
      <c r="B34" s="1828"/>
      <c r="C34" s="1828"/>
      <c r="D34" s="1828"/>
      <c r="E34" s="1828"/>
      <c r="F34" s="1828"/>
      <c r="G34" s="1828"/>
      <c r="H34" s="1828"/>
      <c r="I34" s="1828"/>
      <c r="J34" s="1828"/>
      <c r="K34" s="1828"/>
      <c r="L34" s="1828"/>
      <c r="M34" s="1828"/>
      <c r="N34" s="94"/>
    </row>
    <row r="35" spans="1:14">
      <c r="A35" s="1828"/>
      <c r="B35" s="1828"/>
      <c r="C35" s="1828"/>
      <c r="D35" s="1828"/>
      <c r="E35" s="1828"/>
      <c r="F35" s="1828"/>
      <c r="G35" s="1828"/>
      <c r="H35" s="1828"/>
      <c r="I35" s="1828"/>
      <c r="J35" s="1828"/>
      <c r="K35" s="1828"/>
      <c r="L35" s="1828"/>
      <c r="M35" s="1828"/>
      <c r="N35" s="94"/>
    </row>
    <row r="36" spans="1:14">
      <c r="A36" s="1828"/>
      <c r="B36" s="1828"/>
      <c r="C36" s="1828"/>
      <c r="D36" s="1828"/>
      <c r="E36" s="1828"/>
      <c r="F36" s="1828"/>
      <c r="G36" s="1828"/>
      <c r="H36" s="1828"/>
      <c r="I36" s="1828"/>
      <c r="J36" s="1828"/>
      <c r="K36" s="1828"/>
      <c r="L36" s="1828"/>
      <c r="M36" s="1828"/>
      <c r="N36" s="94"/>
    </row>
    <row r="37" spans="1:14">
      <c r="A37" s="1828"/>
      <c r="B37" s="1828"/>
      <c r="C37" s="1828"/>
      <c r="D37" s="1828"/>
      <c r="E37" s="1828"/>
      <c r="F37" s="1828"/>
      <c r="G37" s="1828"/>
      <c r="H37" s="1828"/>
      <c r="I37" s="1828"/>
      <c r="J37" s="1828"/>
      <c r="K37" s="1828"/>
      <c r="L37" s="1828"/>
      <c r="M37" s="1828"/>
      <c r="N37" s="94"/>
    </row>
    <row r="38" spans="1:14">
      <c r="A38" s="1828"/>
      <c r="B38" s="1828"/>
      <c r="C38" s="1828"/>
      <c r="D38" s="1828"/>
      <c r="E38" s="1828"/>
      <c r="F38" s="1828"/>
      <c r="G38" s="1828"/>
      <c r="H38" s="1828"/>
      <c r="I38" s="1828"/>
      <c r="J38" s="1828"/>
      <c r="K38" s="1828"/>
      <c r="L38" s="1828"/>
      <c r="M38" s="1828"/>
      <c r="N38" s="94"/>
    </row>
    <row r="39" spans="1:14">
      <c r="A39" s="1828"/>
      <c r="B39" s="1828"/>
      <c r="C39" s="1828"/>
      <c r="D39" s="1828"/>
      <c r="E39" s="1828"/>
      <c r="F39" s="1828"/>
      <c r="G39" s="1828"/>
      <c r="H39" s="1828"/>
      <c r="I39" s="1828"/>
      <c r="J39" s="1828"/>
      <c r="K39" s="1828"/>
      <c r="L39" s="1828"/>
      <c r="M39" s="1828"/>
      <c r="N39" s="94"/>
    </row>
    <row r="40" spans="1:14">
      <c r="A40" s="94"/>
      <c r="B40" s="94"/>
      <c r="C40" s="94"/>
      <c r="D40" s="94"/>
      <c r="E40" s="94"/>
      <c r="F40" s="94"/>
      <c r="G40" s="94"/>
      <c r="H40" s="94"/>
      <c r="I40" s="94"/>
      <c r="J40" s="94"/>
      <c r="K40" s="94"/>
      <c r="L40" s="94"/>
      <c r="M40" s="94"/>
      <c r="N40" s="94"/>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85" zoomScaleNormal="100" zoomScaleSheetLayoutView="85" workbookViewId="0">
      <selection activeCell="N25" sqref="N25"/>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I1:O53"/>
  <sheetViews>
    <sheetView showGridLines="0" view="pageBreakPreview" zoomScaleNormal="100" zoomScaleSheetLayoutView="100" workbookViewId="0">
      <selection activeCell="N11" sqref="N11"/>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85546875" style="77" customWidth="1"/>
    <col min="14" max="16384" width="11.42578125" style="77"/>
  </cols>
  <sheetData>
    <row r="1" s="94" customFormat="1"/>
    <row r="2" s="94" customFormat="1"/>
    <row r="3" s="94" customFormat="1"/>
    <row r="4" s="94" customFormat="1"/>
    <row r="5" s="94" customFormat="1"/>
    <row r="20" spans="14:15">
      <c r="N20" s="18"/>
    </row>
    <row r="21" spans="14:15">
      <c r="N21" s="18"/>
    </row>
    <row r="23" spans="14:15">
      <c r="O23" s="18"/>
    </row>
    <row r="25" spans="14:15">
      <c r="N25" s="284"/>
    </row>
    <row r="26" spans="14:15">
      <c r="N26" s="284"/>
    </row>
    <row r="29" spans="14:15">
      <c r="O29" s="165"/>
    </row>
    <row r="30" spans="14:15">
      <c r="N30" s="18"/>
      <c r="O30" s="556"/>
    </row>
    <row r="31" spans="14:15" ht="18.75" customHeight="1"/>
    <row r="32" spans="14:15" ht="18.75" customHeight="1"/>
    <row r="33" spans="9:9" ht="18.75" customHeight="1"/>
    <row r="34" spans="9:9" ht="18.75" customHeight="1"/>
    <row r="41" spans="9:9">
      <c r="I41" s="1753"/>
    </row>
    <row r="51" spans="10:10">
      <c r="J51" s="1248"/>
    </row>
    <row r="53" spans="10:10">
      <c r="J53" s="927"/>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I8" sqref="I8"/>
    </sheetView>
  </sheetViews>
  <sheetFormatPr baseColWidth="10" defaultColWidth="11.42578125" defaultRowHeight="15"/>
  <cols>
    <col min="1" max="1" width="13.7109375" style="208" customWidth="1"/>
    <col min="2" max="2" width="14.42578125" style="77" customWidth="1"/>
    <col min="3" max="3" width="17.7109375" style="77" customWidth="1"/>
    <col min="4" max="4" width="16" style="77" customWidth="1"/>
    <col min="5" max="5" width="14" style="77" customWidth="1"/>
    <col min="6" max="6" width="16.42578125" style="77" customWidth="1"/>
    <col min="7" max="7" width="14.28515625" style="77" customWidth="1"/>
    <col min="8" max="8" width="13.5703125" style="77" bestFit="1" customWidth="1"/>
    <col min="9" max="9" width="13.7109375" style="77" bestFit="1" customWidth="1"/>
    <col min="10" max="10" width="10.28515625" style="77" customWidth="1"/>
    <col min="11" max="11" width="11.1406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88.5" customHeight="1">
      <c r="A1" s="1861"/>
      <c r="B1" s="1861"/>
      <c r="C1" s="1861"/>
      <c r="D1" s="1861"/>
      <c r="E1" s="1861"/>
      <c r="F1" s="1861"/>
      <c r="G1" s="1861"/>
      <c r="H1" s="1861"/>
      <c r="I1" s="1861"/>
      <c r="J1" s="1861"/>
      <c r="K1" s="1861"/>
      <c r="L1" s="1861"/>
      <c r="M1" s="1861"/>
      <c r="N1" s="1861"/>
      <c r="P1" s="267"/>
    </row>
    <row r="2" spans="1:16" s="39" customFormat="1" ht="10.5" customHeight="1">
      <c r="A2" s="381"/>
      <c r="B2" s="198"/>
      <c r="C2" s="198"/>
      <c r="D2" s="198"/>
      <c r="E2" s="198"/>
      <c r="F2" s="198"/>
      <c r="G2" s="198"/>
      <c r="H2" s="198"/>
      <c r="I2" s="198"/>
      <c r="J2" s="198"/>
      <c r="K2" s="198"/>
      <c r="L2" s="198"/>
      <c r="M2" s="198"/>
      <c r="N2" s="198"/>
      <c r="P2" s="197"/>
    </row>
    <row r="3" spans="1:16" s="1682" customFormat="1" ht="36" customHeight="1">
      <c r="A3" s="394" t="s">
        <v>25</v>
      </c>
      <c r="B3" s="382" t="s">
        <v>534</v>
      </c>
      <c r="C3" s="383" t="s">
        <v>535</v>
      </c>
      <c r="D3" s="383" t="s">
        <v>153</v>
      </c>
      <c r="E3" s="382" t="s">
        <v>157</v>
      </c>
      <c r="F3" s="383" t="s">
        <v>158</v>
      </c>
      <c r="G3" s="329" t="s">
        <v>950</v>
      </c>
    </row>
    <row r="4" spans="1:16" s="1682" customFormat="1" ht="15.75">
      <c r="A4" s="935" t="s">
        <v>28</v>
      </c>
      <c r="B4" s="933">
        <v>106192</v>
      </c>
      <c r="C4" s="934">
        <v>147182</v>
      </c>
      <c r="D4" s="936">
        <f>B4+C4</f>
        <v>253374</v>
      </c>
      <c r="E4" s="1683">
        <f t="shared" ref="E4:E9" si="0">B4/D4</f>
        <v>0.41911166891630552</v>
      </c>
      <c r="F4" s="1684">
        <f>C4/D4</f>
        <v>0.58088833108369442</v>
      </c>
      <c r="G4" s="1685">
        <f t="shared" ref="G4:G11" si="1">C4/B4</f>
        <v>1.3859989453066144</v>
      </c>
    </row>
    <row r="5" spans="1:16" s="1682" customFormat="1" ht="15.75">
      <c r="A5" s="935" t="s">
        <v>29</v>
      </c>
      <c r="B5" s="744">
        <v>258701</v>
      </c>
      <c r="C5" s="692">
        <v>255339</v>
      </c>
      <c r="D5" s="784">
        <f t="shared" ref="D5:D14" si="2">B5+C5</f>
        <v>514040</v>
      </c>
      <c r="E5" s="1686">
        <f t="shared" si="0"/>
        <v>0.50327017352735193</v>
      </c>
      <c r="F5" s="1687">
        <f>C5/D5</f>
        <v>0.49672982647264802</v>
      </c>
      <c r="G5" s="1688">
        <f t="shared" si="1"/>
        <v>0.9870043022640036</v>
      </c>
    </row>
    <row r="6" spans="1:16" s="1682" customFormat="1" ht="15.75">
      <c r="A6" s="935" t="s">
        <v>30</v>
      </c>
      <c r="B6" s="744">
        <v>473647</v>
      </c>
      <c r="C6" s="937">
        <v>608289</v>
      </c>
      <c r="D6" s="938">
        <f t="shared" si="2"/>
        <v>1081936</v>
      </c>
      <c r="E6" s="1686">
        <f t="shared" si="0"/>
        <v>0.43777728072640154</v>
      </c>
      <c r="F6" s="1689">
        <f t="shared" ref="F6:F11" si="3">+C6/D6</f>
        <v>0.56222271927359846</v>
      </c>
      <c r="G6" s="1688">
        <f t="shared" si="1"/>
        <v>1.2842665529392143</v>
      </c>
    </row>
    <row r="7" spans="1:16" s="1682" customFormat="1" ht="15.75">
      <c r="A7" s="935" t="s">
        <v>31</v>
      </c>
      <c r="B7" s="939">
        <v>489949</v>
      </c>
      <c r="C7" s="937">
        <v>734949</v>
      </c>
      <c r="D7" s="938">
        <f t="shared" si="2"/>
        <v>1224898</v>
      </c>
      <c r="E7" s="1686">
        <f t="shared" si="0"/>
        <v>0.39999167277601888</v>
      </c>
      <c r="F7" s="1689">
        <f t="shared" si="3"/>
        <v>0.60000832722398112</v>
      </c>
      <c r="G7" s="1688">
        <f t="shared" si="1"/>
        <v>1.5000520462333835</v>
      </c>
      <c r="O7" s="1693"/>
    </row>
    <row r="8" spans="1:16" s="1682" customFormat="1" ht="15.75">
      <c r="A8" s="935" t="s">
        <v>32</v>
      </c>
      <c r="B8" s="939">
        <v>622049</v>
      </c>
      <c r="C8" s="937">
        <v>782176</v>
      </c>
      <c r="D8" s="938">
        <f t="shared" si="2"/>
        <v>1404225</v>
      </c>
      <c r="E8" s="1686">
        <f t="shared" si="0"/>
        <v>0.44298385230287168</v>
      </c>
      <c r="F8" s="1689">
        <f t="shared" si="3"/>
        <v>0.55701614769712826</v>
      </c>
      <c r="G8" s="1688">
        <f t="shared" si="1"/>
        <v>1.2574186277929873</v>
      </c>
    </row>
    <row r="9" spans="1:16" s="1682" customFormat="1" ht="15" customHeight="1">
      <c r="A9" s="935" t="s">
        <v>195</v>
      </c>
      <c r="B9" s="939">
        <v>903250</v>
      </c>
      <c r="C9" s="937">
        <v>1110536</v>
      </c>
      <c r="D9" s="938">
        <f t="shared" si="2"/>
        <v>2013786</v>
      </c>
      <c r="E9" s="1686">
        <f t="shared" si="0"/>
        <v>0.44853326023718509</v>
      </c>
      <c r="F9" s="1689">
        <f t="shared" si="3"/>
        <v>0.55146673976281491</v>
      </c>
      <c r="G9" s="1688">
        <f t="shared" si="1"/>
        <v>1.229489067257127</v>
      </c>
    </row>
    <row r="10" spans="1:16" s="1682" customFormat="1" ht="15.75">
      <c r="A10" s="935" t="s">
        <v>241</v>
      </c>
      <c r="B10" s="939">
        <v>883775</v>
      </c>
      <c r="C10" s="937">
        <v>1119652</v>
      </c>
      <c r="D10" s="938">
        <f t="shared" si="2"/>
        <v>2003427</v>
      </c>
      <c r="E10" s="1686">
        <f>B10/D10</f>
        <v>0.44113162096747222</v>
      </c>
      <c r="F10" s="1689">
        <f t="shared" si="3"/>
        <v>0.55886837903252773</v>
      </c>
      <c r="G10" s="1688">
        <f t="shared" si="1"/>
        <v>1.2668971174789962</v>
      </c>
    </row>
    <row r="11" spans="1:16" s="1682" customFormat="1" ht="15.75">
      <c r="A11" s="935" t="s">
        <v>484</v>
      </c>
      <c r="B11" s="939">
        <v>1178040</v>
      </c>
      <c r="C11" s="937">
        <v>1125311</v>
      </c>
      <c r="D11" s="938">
        <f t="shared" si="2"/>
        <v>2303351</v>
      </c>
      <c r="E11" s="1686">
        <f>B11/D11</f>
        <v>0.51144614954472856</v>
      </c>
      <c r="F11" s="1689">
        <f t="shared" si="3"/>
        <v>0.4885538504552715</v>
      </c>
      <c r="G11" s="1688">
        <f t="shared" si="1"/>
        <v>0.95524005976027981</v>
      </c>
    </row>
    <row r="12" spans="1:16" s="1682" customFormat="1" ht="15.75">
      <c r="A12" s="935" t="s">
        <v>565</v>
      </c>
      <c r="B12" s="939">
        <v>1568225</v>
      </c>
      <c r="C12" s="937">
        <v>1183528</v>
      </c>
      <c r="D12" s="938">
        <f t="shared" si="2"/>
        <v>2751753</v>
      </c>
      <c r="E12" s="1686">
        <f>B12/D12</f>
        <v>0.56990035079456625</v>
      </c>
      <c r="F12" s="1689">
        <f>+C12/D12</f>
        <v>0.43009964920543375</v>
      </c>
      <c r="G12" s="1688">
        <f>C12/B12</f>
        <v>0.75469272585247649</v>
      </c>
    </row>
    <row r="13" spans="1:16" s="1682" customFormat="1" ht="15.75">
      <c r="A13" s="935" t="s">
        <v>582</v>
      </c>
      <c r="B13" s="939">
        <v>1795214</v>
      </c>
      <c r="C13" s="937">
        <v>1220432</v>
      </c>
      <c r="D13" s="938">
        <f t="shared" si="2"/>
        <v>3015646</v>
      </c>
      <c r="E13" s="1686">
        <f>B13/D13</f>
        <v>0.5952999788436707</v>
      </c>
      <c r="F13" s="1689">
        <f>+C13/D13</f>
        <v>0.40470002115632936</v>
      </c>
      <c r="G13" s="1688">
        <f>C13/B13</f>
        <v>0.67982535786819842</v>
      </c>
    </row>
    <row r="14" spans="1:16" s="1682" customFormat="1" ht="15.75">
      <c r="A14" s="940" t="s">
        <v>947</v>
      </c>
      <c r="B14" s="1633">
        <v>1832898</v>
      </c>
      <c r="C14" s="1634">
        <v>1210455</v>
      </c>
      <c r="D14" s="1635">
        <f t="shared" si="2"/>
        <v>3043353</v>
      </c>
      <c r="E14" s="1690">
        <f>B14/D14</f>
        <v>0.60226270169776563</v>
      </c>
      <c r="F14" s="1691">
        <f>+C14/D14</f>
        <v>0.39773729830223442</v>
      </c>
      <c r="G14" s="1692">
        <f>C14/B14</f>
        <v>0.66040499798679464</v>
      </c>
    </row>
    <row r="15" spans="1:16" s="1682" customFormat="1">
      <c r="A15" s="1862" t="s">
        <v>764</v>
      </c>
      <c r="B15" s="1862"/>
      <c r="C15" s="1862"/>
      <c r="D15" s="1862"/>
      <c r="E15" s="1862"/>
      <c r="F15" s="1862"/>
      <c r="G15" s="1862"/>
    </row>
    <row r="30" spans="15:15">
      <c r="O30" s="77" t="s">
        <v>33</v>
      </c>
    </row>
  </sheetData>
  <mergeCells count="2">
    <mergeCell ref="A1:N1"/>
    <mergeCell ref="A15:G15"/>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37"/>
  <sheetViews>
    <sheetView showGridLines="0" view="pageBreakPreview" zoomScale="85" zoomScaleNormal="70" zoomScaleSheetLayoutView="85" workbookViewId="0">
      <selection activeCell="J14" sqref="J14"/>
    </sheetView>
  </sheetViews>
  <sheetFormatPr baseColWidth="10" defaultColWidth="11.42578125" defaultRowHeight="15"/>
  <cols>
    <col min="1" max="1" width="11.42578125" style="77" customWidth="1"/>
    <col min="2" max="2" width="11.7109375" style="1586" customWidth="1"/>
    <col min="3" max="3" width="13.28515625" style="1586" customWidth="1"/>
    <col min="4" max="4" width="12.140625" style="1586" customWidth="1"/>
    <col min="5" max="5" width="13.28515625" style="1586" customWidth="1"/>
    <col min="6" max="6" width="11.85546875" style="77" customWidth="1"/>
    <col min="7" max="7" width="14.5703125" style="77" customWidth="1"/>
    <col min="8" max="8" width="13.5703125" style="77" customWidth="1"/>
    <col min="9" max="9" width="15.28515625" style="77" customWidth="1"/>
    <col min="10" max="10" width="12.5703125" style="77" customWidth="1"/>
    <col min="11" max="11" width="11.42578125" style="77" customWidth="1"/>
    <col min="12" max="12" width="17.140625" style="77" customWidth="1"/>
    <col min="13" max="13" width="16" style="77" customWidth="1"/>
    <col min="14" max="14" width="9.85546875" style="77" customWidth="1"/>
    <col min="15" max="15" width="20" style="77" customWidth="1"/>
    <col min="16" max="16384" width="11.42578125" style="77"/>
  </cols>
  <sheetData>
    <row r="1" spans="1:14" s="94" customFormat="1" ht="69.75" customHeight="1">
      <c r="A1" s="1863"/>
      <c r="B1" s="1863"/>
      <c r="C1" s="1863"/>
      <c r="D1" s="1863"/>
      <c r="E1" s="1863"/>
      <c r="F1" s="1863"/>
      <c r="G1" s="1863"/>
      <c r="H1" s="1863"/>
      <c r="I1" s="1863"/>
      <c r="J1" s="1863"/>
      <c r="K1" s="1863"/>
      <c r="L1" s="1863"/>
      <c r="M1" s="1863"/>
      <c r="N1" s="1863"/>
    </row>
    <row r="2" spans="1:14" s="39" customFormat="1" ht="6" customHeight="1">
      <c r="A2" s="198"/>
      <c r="B2" s="198"/>
      <c r="C2" s="198"/>
      <c r="D2" s="198"/>
      <c r="E2" s="198"/>
      <c r="F2" s="198"/>
      <c r="G2" s="198"/>
      <c r="H2" s="198"/>
      <c r="I2" s="198"/>
      <c r="J2" s="198"/>
      <c r="K2" s="198"/>
      <c r="L2" s="198"/>
    </row>
    <row r="3" spans="1:14" ht="36.75" customHeight="1">
      <c r="A3" s="1318" t="s">
        <v>247</v>
      </c>
      <c r="B3" s="1319" t="s">
        <v>534</v>
      </c>
      <c r="C3" s="1319" t="s">
        <v>535</v>
      </c>
      <c r="D3" s="1319" t="s">
        <v>153</v>
      </c>
      <c r="E3" s="1320" t="s">
        <v>951</v>
      </c>
    </row>
    <row r="4" spans="1:14">
      <c r="A4" s="1048" t="s">
        <v>567</v>
      </c>
      <c r="B4" s="1587">
        <v>1545541</v>
      </c>
      <c r="C4" s="1587">
        <v>1209278</v>
      </c>
      <c r="D4" s="1588">
        <f t="shared" ref="D4:D11" si="0">B4+C4</f>
        <v>2754819</v>
      </c>
      <c r="E4" s="1589">
        <f t="shared" ref="E4:E11" si="1">C4/B4</f>
        <v>0.78243022993243139</v>
      </c>
    </row>
    <row r="5" spans="1:14">
      <c r="A5" s="1048" t="s">
        <v>568</v>
      </c>
      <c r="B5" s="1587">
        <v>1539520</v>
      </c>
      <c r="C5" s="1587">
        <v>1211525</v>
      </c>
      <c r="D5" s="1588">
        <f t="shared" si="0"/>
        <v>2751045</v>
      </c>
      <c r="E5" s="1589">
        <f t="shared" si="1"/>
        <v>0.78694982851797968</v>
      </c>
    </row>
    <row r="6" spans="1:14">
      <c r="A6" s="1048" t="s">
        <v>569</v>
      </c>
      <c r="B6" s="1587">
        <v>1534933</v>
      </c>
      <c r="C6" s="1587">
        <v>1213460</v>
      </c>
      <c r="D6" s="1588">
        <f t="shared" si="0"/>
        <v>2748393</v>
      </c>
      <c r="E6" s="1589">
        <f t="shared" si="1"/>
        <v>0.79056219391986493</v>
      </c>
    </row>
    <row r="7" spans="1:14">
      <c r="A7" s="1048" t="s">
        <v>570</v>
      </c>
      <c r="B7" s="1587">
        <v>1538413</v>
      </c>
      <c r="C7" s="1587">
        <v>1213532</v>
      </c>
      <c r="D7" s="1588">
        <f t="shared" si="0"/>
        <v>2751945</v>
      </c>
      <c r="E7" s="1589">
        <f t="shared" si="1"/>
        <v>0.78882068729268406</v>
      </c>
    </row>
    <row r="8" spans="1:14">
      <c r="A8" s="1048" t="s">
        <v>547</v>
      </c>
      <c r="B8" s="1587">
        <v>1598142</v>
      </c>
      <c r="C8" s="1587">
        <v>1240613</v>
      </c>
      <c r="D8" s="1588">
        <f t="shared" si="0"/>
        <v>2838755</v>
      </c>
      <c r="E8" s="1589">
        <f t="shared" si="1"/>
        <v>0.77628458547488266</v>
      </c>
    </row>
    <row r="9" spans="1:14">
      <c r="A9" s="1048" t="s">
        <v>588</v>
      </c>
      <c r="B9" s="1587">
        <v>1627454</v>
      </c>
      <c r="C9" s="1587">
        <v>1204555</v>
      </c>
      <c r="D9" s="1588">
        <f t="shared" si="0"/>
        <v>2832009</v>
      </c>
      <c r="E9" s="1589">
        <f t="shared" si="1"/>
        <v>0.74014687972747617</v>
      </c>
    </row>
    <row r="10" spans="1:14">
      <c r="A10" s="1048" t="s">
        <v>586</v>
      </c>
      <c r="B10" s="1587">
        <v>1795214</v>
      </c>
      <c r="C10" s="1587">
        <v>1220432</v>
      </c>
      <c r="D10" s="1588">
        <f t="shared" si="0"/>
        <v>3015646</v>
      </c>
      <c r="E10" s="1589">
        <f t="shared" si="1"/>
        <v>0.67982535786819842</v>
      </c>
    </row>
    <row r="11" spans="1:14">
      <c r="A11" s="1048" t="s">
        <v>587</v>
      </c>
      <c r="B11" s="1587">
        <v>1786117</v>
      </c>
      <c r="C11" s="1587">
        <v>1214864</v>
      </c>
      <c r="D11" s="1588">
        <f t="shared" si="0"/>
        <v>3000981</v>
      </c>
      <c r="E11" s="1589">
        <f t="shared" si="1"/>
        <v>0.68017044796057591</v>
      </c>
    </row>
    <row r="12" spans="1:14">
      <c r="A12" s="1048" t="s">
        <v>761</v>
      </c>
      <c r="B12" s="1587">
        <v>1782070</v>
      </c>
      <c r="C12" s="1587">
        <v>1219963</v>
      </c>
      <c r="D12" s="1588">
        <v>3002033</v>
      </c>
      <c r="E12" s="1589">
        <v>0.68457636344251349</v>
      </c>
    </row>
    <row r="13" spans="1:14">
      <c r="A13" s="1048" t="s">
        <v>909</v>
      </c>
      <c r="B13" s="1587">
        <v>1806581</v>
      </c>
      <c r="C13" s="1587">
        <v>1225984</v>
      </c>
      <c r="D13" s="1588">
        <v>3032565</v>
      </c>
      <c r="E13" s="1589">
        <v>0.67862110804885034</v>
      </c>
    </row>
    <row r="14" spans="1:14">
      <c r="A14" s="1048" t="s">
        <v>917</v>
      </c>
      <c r="B14" s="1587">
        <v>1811780</v>
      </c>
      <c r="C14" s="1587">
        <v>1221857</v>
      </c>
      <c r="D14" s="1588">
        <v>3033637</v>
      </c>
      <c r="E14" s="1589">
        <v>0.67439589795670551</v>
      </c>
    </row>
    <row r="15" spans="1:14">
      <c r="A15" s="1048" t="s">
        <v>931</v>
      </c>
      <c r="B15" s="1587">
        <v>1806574</v>
      </c>
      <c r="C15" s="1587">
        <v>1211157</v>
      </c>
      <c r="D15" s="1588">
        <v>3017731</v>
      </c>
      <c r="E15" s="1589">
        <v>0.67041648999708836</v>
      </c>
    </row>
    <row r="16" spans="1:14">
      <c r="A16" s="1049" t="s">
        <v>946</v>
      </c>
      <c r="B16" s="1636">
        <v>1832898</v>
      </c>
      <c r="C16" s="1636">
        <v>1210455</v>
      </c>
      <c r="D16" s="1637">
        <f>B16+C16</f>
        <v>3043353</v>
      </c>
      <c r="E16" s="1638">
        <f>C16/B16</f>
        <v>0.66040499798679464</v>
      </c>
    </row>
    <row r="36" ht="38.25" customHeight="1"/>
    <row r="37" ht="59.25" customHeight="1"/>
  </sheetData>
  <mergeCells count="1">
    <mergeCell ref="A1:N1"/>
  </mergeCells>
  <printOptions horizontalCentered="1" verticalCentered="1"/>
  <pageMargins left="0.4" right="0.4" top="0.25" bottom="0.25" header="0.31496062992126" footer="0.31496062992126"/>
  <pageSetup scale="7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27"/>
  <sheetViews>
    <sheetView showGridLines="0" view="pageBreakPreview" zoomScale="85" zoomScaleNormal="100" zoomScaleSheetLayoutView="85" workbookViewId="0">
      <pane ySplit="1" topLeftCell="A2" activePane="bottomLeft" state="frozen"/>
      <selection activeCell="M22" sqref="M22"/>
      <selection pane="bottomLeft" activeCell="G9" sqref="G9"/>
    </sheetView>
  </sheetViews>
  <sheetFormatPr baseColWidth="10" defaultColWidth="11.42578125" defaultRowHeight="15"/>
  <cols>
    <col min="1" max="1" width="11" style="77" customWidth="1"/>
    <col min="2" max="2" width="12.140625" style="77" customWidth="1"/>
    <col min="3" max="3" width="17" style="77" customWidth="1"/>
    <col min="4" max="4" width="12.7109375" style="77" customWidth="1"/>
    <col min="5" max="5" width="11.28515625" style="77" bestFit="1" customWidth="1"/>
    <col min="6" max="6" width="12.7109375" style="77" bestFit="1" customWidth="1"/>
    <col min="7" max="7" width="13.7109375" style="77" bestFit="1" customWidth="1"/>
    <col min="8" max="8" width="13.5703125" style="77" bestFit="1" customWidth="1"/>
    <col min="9" max="9" width="13.7109375" style="77" bestFit="1" customWidth="1"/>
    <col min="10" max="10" width="10.28515625" style="77" customWidth="1"/>
    <col min="11" max="11" width="11.1406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71.25" customHeight="1">
      <c r="A1" s="1861"/>
      <c r="B1" s="1861"/>
      <c r="C1" s="1861"/>
      <c r="D1" s="1861"/>
      <c r="E1" s="1861"/>
      <c r="F1" s="1861"/>
      <c r="G1" s="1861"/>
      <c r="H1" s="1861"/>
      <c r="I1" s="1861"/>
      <c r="J1" s="1861"/>
      <c r="K1" s="1861"/>
      <c r="L1" s="1861"/>
      <c r="M1" s="1861"/>
      <c r="N1" s="1861"/>
      <c r="P1" s="1040"/>
    </row>
    <row r="2" spans="1:16" s="39" customFormat="1" ht="3" customHeight="1">
      <c r="A2" s="198"/>
      <c r="B2" s="198"/>
      <c r="C2" s="198"/>
      <c r="D2" s="198"/>
      <c r="E2" s="198"/>
      <c r="F2" s="198"/>
      <c r="G2" s="198"/>
      <c r="H2" s="198"/>
      <c r="I2" s="198"/>
      <c r="J2" s="198"/>
      <c r="K2" s="198"/>
      <c r="L2" s="198"/>
      <c r="M2" s="198"/>
      <c r="N2" s="198"/>
      <c r="P2" s="197"/>
    </row>
    <row r="3" spans="1:16" ht="53.25" customHeight="1">
      <c r="A3" s="394" t="s">
        <v>25</v>
      </c>
      <c r="B3" s="1092" t="s">
        <v>715</v>
      </c>
      <c r="C3" s="1046" t="s">
        <v>716</v>
      </c>
      <c r="D3" s="1046" t="s">
        <v>717</v>
      </c>
      <c r="E3" s="1047" t="s">
        <v>950</v>
      </c>
    </row>
    <row r="4" spans="1:16">
      <c r="A4" s="1090" t="s">
        <v>28</v>
      </c>
      <c r="B4" s="1056">
        <v>0</v>
      </c>
      <c r="C4" s="1050">
        <v>0</v>
      </c>
      <c r="D4" s="1051">
        <v>266531</v>
      </c>
      <c r="E4" s="1052"/>
    </row>
    <row r="5" spans="1:16">
      <c r="A5" s="1090" t="s">
        <v>29</v>
      </c>
      <c r="B5" s="1056">
        <v>254831</v>
      </c>
      <c r="C5" s="1050">
        <v>258585</v>
      </c>
      <c r="D5" s="1051">
        <f t="shared" ref="D5:D12" si="0">B5+C5</f>
        <v>513416</v>
      </c>
      <c r="E5" s="1052">
        <f>C5/B5</f>
        <v>1.0147313317453528</v>
      </c>
    </row>
    <row r="6" spans="1:16">
      <c r="A6" s="1090" t="s">
        <v>30</v>
      </c>
      <c r="B6" s="1056">
        <v>473647</v>
      </c>
      <c r="C6" s="1050">
        <v>608289</v>
      </c>
      <c r="D6" s="1051">
        <f t="shared" si="0"/>
        <v>1081936</v>
      </c>
      <c r="E6" s="1052">
        <f t="shared" ref="E6:E12" si="1">C6/B6</f>
        <v>1.2842665529392143</v>
      </c>
    </row>
    <row r="7" spans="1:16">
      <c r="A7" s="1090" t="s">
        <v>31</v>
      </c>
      <c r="B7" s="1056">
        <v>489949</v>
      </c>
      <c r="C7" s="1050">
        <v>734694</v>
      </c>
      <c r="D7" s="1051">
        <f t="shared" si="0"/>
        <v>1224643</v>
      </c>
      <c r="E7" s="1052">
        <f t="shared" si="1"/>
        <v>1.4995315838995487</v>
      </c>
      <c r="O7" s="18"/>
    </row>
    <row r="8" spans="1:16">
      <c r="A8" s="1090" t="s">
        <v>32</v>
      </c>
      <c r="B8" s="1056">
        <v>575190</v>
      </c>
      <c r="C8" s="1050">
        <v>770976</v>
      </c>
      <c r="D8" s="1051">
        <f t="shared" si="0"/>
        <v>1346166</v>
      </c>
      <c r="E8" s="1052">
        <f t="shared" si="1"/>
        <v>1.3403849162885308</v>
      </c>
    </row>
    <row r="9" spans="1:16" ht="15" customHeight="1">
      <c r="A9" s="1090" t="s">
        <v>195</v>
      </c>
      <c r="B9" s="1056">
        <v>880620</v>
      </c>
      <c r="C9" s="1050">
        <v>967213</v>
      </c>
      <c r="D9" s="1051">
        <f t="shared" si="0"/>
        <v>1847833</v>
      </c>
      <c r="E9" s="1052">
        <f t="shared" si="1"/>
        <v>1.098331857100679</v>
      </c>
    </row>
    <row r="10" spans="1:16">
      <c r="A10" s="1090" t="s">
        <v>241</v>
      </c>
      <c r="B10" s="1056">
        <v>885431</v>
      </c>
      <c r="C10" s="1050">
        <v>1110904</v>
      </c>
      <c r="D10" s="1051">
        <f t="shared" si="0"/>
        <v>1996335</v>
      </c>
      <c r="E10" s="1052">
        <f t="shared" si="1"/>
        <v>1.2546477365260533</v>
      </c>
    </row>
    <row r="11" spans="1:16">
      <c r="A11" s="1090" t="s">
        <v>484</v>
      </c>
      <c r="B11" s="1056">
        <v>1170009</v>
      </c>
      <c r="C11" s="1050">
        <v>1124347</v>
      </c>
      <c r="D11" s="1051">
        <f t="shared" si="0"/>
        <v>2294356</v>
      </c>
      <c r="E11" s="1052">
        <f t="shared" si="1"/>
        <v>0.96097294978072823</v>
      </c>
    </row>
    <row r="12" spans="1:16">
      <c r="A12" s="1090" t="s">
        <v>565</v>
      </c>
      <c r="B12" s="1056">
        <v>1467184</v>
      </c>
      <c r="C12" s="1050">
        <v>1179715</v>
      </c>
      <c r="D12" s="1051">
        <f t="shared" si="0"/>
        <v>2646899</v>
      </c>
      <c r="E12" s="1052">
        <f t="shared" si="1"/>
        <v>0.80406751982028157</v>
      </c>
    </row>
    <row r="13" spans="1:16">
      <c r="A13" s="1090" t="s">
        <v>582</v>
      </c>
      <c r="B13" s="1056">
        <v>1795214</v>
      </c>
      <c r="C13" s="1050">
        <v>1220432</v>
      </c>
      <c r="D13" s="1051">
        <f>B13+C13</f>
        <v>3015646</v>
      </c>
      <c r="E13" s="1052">
        <f>C13/B13</f>
        <v>0.67982535786819842</v>
      </c>
    </row>
    <row r="14" spans="1:16">
      <c r="A14" s="1091" t="s">
        <v>947</v>
      </c>
      <c r="B14" s="1057">
        <v>1823787</v>
      </c>
      <c r="C14" s="1053">
        <v>1213761</v>
      </c>
      <c r="D14" s="1054">
        <f>B14+C14</f>
        <v>3037548</v>
      </c>
      <c r="E14" s="1055">
        <f>C14/B14</f>
        <v>0.66551686134400567</v>
      </c>
    </row>
    <row r="15" spans="1:16">
      <c r="A15" s="1864" t="s">
        <v>765</v>
      </c>
      <c r="B15" s="1864"/>
      <c r="C15" s="1864"/>
      <c r="D15" s="1864"/>
      <c r="E15" s="1864"/>
    </row>
    <row r="27" spans="15:15">
      <c r="O27" s="77" t="s">
        <v>33</v>
      </c>
    </row>
  </sheetData>
  <mergeCells count="2">
    <mergeCell ref="A1:N1"/>
    <mergeCell ref="A15:E15"/>
  </mergeCells>
  <printOptions horizontalCentered="1" verticalCentered="1"/>
  <pageMargins left="0.39370078740157483" right="0.39370078740157483" top="0.23622047244094491" bottom="0.23622047244094491" header="0.31496062992125984" footer="0.31496062992125984"/>
  <pageSetup scale="6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16"/>
  <sheetViews>
    <sheetView showGridLines="0" view="pageBreakPreview" zoomScale="85" zoomScaleNormal="70" zoomScaleSheetLayoutView="85" workbookViewId="0">
      <selection activeCell="J12" sqref="J12"/>
    </sheetView>
  </sheetViews>
  <sheetFormatPr baseColWidth="10" defaultColWidth="11.42578125" defaultRowHeight="15"/>
  <cols>
    <col min="1" max="1" width="11.42578125" style="77" customWidth="1"/>
    <col min="2" max="2" width="16.7109375" style="77" customWidth="1"/>
    <col min="3" max="3" width="17.85546875" style="77" customWidth="1"/>
    <col min="4" max="4" width="17.28515625" style="77" customWidth="1"/>
    <col min="5" max="5" width="14.85546875" style="77" customWidth="1"/>
    <col min="6" max="6" width="11.85546875" style="77" customWidth="1"/>
    <col min="7" max="7" width="14.5703125" style="77" customWidth="1"/>
    <col min="8" max="8" width="13.5703125" style="77" customWidth="1"/>
    <col min="9" max="9" width="15.28515625" style="77" customWidth="1"/>
    <col min="10" max="10" width="11" style="77" customWidth="1"/>
    <col min="11" max="11" width="11.42578125" style="77" customWidth="1"/>
    <col min="12" max="12" width="14.140625" style="77" customWidth="1"/>
    <col min="13" max="13" width="11.42578125" style="77"/>
    <col min="14" max="14" width="4.5703125" style="77" customWidth="1"/>
    <col min="15" max="15" width="20" style="77" customWidth="1"/>
    <col min="16" max="16384" width="11.42578125" style="77"/>
  </cols>
  <sheetData>
    <row r="1" spans="1:14" ht="67.5" customHeight="1">
      <c r="A1" s="1863"/>
      <c r="B1" s="1863"/>
      <c r="C1" s="1863"/>
      <c r="D1" s="1863"/>
      <c r="E1" s="1863"/>
      <c r="F1" s="1863"/>
      <c r="G1" s="1863"/>
      <c r="H1" s="1863"/>
      <c r="I1" s="1863"/>
      <c r="J1" s="1863"/>
      <c r="K1" s="1863"/>
      <c r="L1" s="1863"/>
      <c r="M1" s="1863"/>
      <c r="N1" s="1863"/>
    </row>
    <row r="2" spans="1:14" s="39" customFormat="1" ht="3" customHeight="1">
      <c r="A2" s="198"/>
      <c r="B2" s="198"/>
      <c r="C2" s="198"/>
      <c r="D2" s="198"/>
      <c r="E2" s="198"/>
      <c r="F2" s="198"/>
      <c r="G2" s="198"/>
      <c r="H2" s="198"/>
      <c r="I2" s="198"/>
      <c r="J2" s="198"/>
      <c r="K2" s="198"/>
      <c r="L2" s="198"/>
    </row>
    <row r="3" spans="1:14" ht="45" customHeight="1">
      <c r="A3" s="1751" t="s">
        <v>247</v>
      </c>
      <c r="B3" s="1319" t="s">
        <v>715</v>
      </c>
      <c r="C3" s="1319" t="s">
        <v>716</v>
      </c>
      <c r="D3" s="1752" t="s">
        <v>717</v>
      </c>
      <c r="E3" s="1320" t="s">
        <v>950</v>
      </c>
      <c r="F3"/>
      <c r="G3"/>
      <c r="H3"/>
      <c r="I3"/>
      <c r="J3"/>
      <c r="K3"/>
      <c r="L3"/>
    </row>
    <row r="4" spans="1:14" ht="15.75">
      <c r="A4" s="384" t="s">
        <v>567</v>
      </c>
      <c r="B4" s="398">
        <v>1550134</v>
      </c>
      <c r="C4" s="398">
        <v>1208033</v>
      </c>
      <c r="D4" s="421">
        <f t="shared" ref="D4:D11" si="0">+C4+B4</f>
        <v>2758167</v>
      </c>
      <c r="E4" s="399">
        <f t="shared" ref="E4:E6" si="1">C4/B4</f>
        <v>0.77930875653330611</v>
      </c>
      <c r="F4"/>
      <c r="G4"/>
      <c r="H4"/>
      <c r="I4"/>
      <c r="J4"/>
      <c r="K4"/>
      <c r="L4"/>
    </row>
    <row r="5" spans="1:14" ht="15.75">
      <c r="A5" s="384" t="s">
        <v>568</v>
      </c>
      <c r="B5" s="398">
        <v>1545541</v>
      </c>
      <c r="C5" s="398">
        <v>1209278</v>
      </c>
      <c r="D5" s="421">
        <f t="shared" si="0"/>
        <v>2754819</v>
      </c>
      <c r="E5" s="399">
        <f t="shared" si="1"/>
        <v>0.78243022993243139</v>
      </c>
      <c r="F5"/>
      <c r="G5"/>
      <c r="H5"/>
      <c r="I5"/>
      <c r="J5"/>
      <c r="K5"/>
      <c r="L5"/>
    </row>
    <row r="6" spans="1:14" ht="15.75">
      <c r="A6" s="384" t="s">
        <v>569</v>
      </c>
      <c r="B6" s="398">
        <v>1539520</v>
      </c>
      <c r="C6" s="398">
        <v>1211525</v>
      </c>
      <c r="D6" s="421">
        <f t="shared" si="0"/>
        <v>2751045</v>
      </c>
      <c r="E6" s="399">
        <f t="shared" si="1"/>
        <v>0.78694982851797968</v>
      </c>
      <c r="F6"/>
      <c r="G6"/>
      <c r="H6"/>
      <c r="I6"/>
      <c r="J6"/>
      <c r="K6"/>
      <c r="L6"/>
    </row>
    <row r="7" spans="1:14" ht="15.75">
      <c r="A7" s="384" t="s">
        <v>570</v>
      </c>
      <c r="B7" s="398">
        <v>1534933</v>
      </c>
      <c r="C7" s="398">
        <v>1213460</v>
      </c>
      <c r="D7" s="421">
        <f t="shared" si="0"/>
        <v>2748393</v>
      </c>
      <c r="E7" s="399">
        <f t="shared" ref="E7:E12" si="2">C7/B7</f>
        <v>0.79056219391986493</v>
      </c>
      <c r="F7"/>
      <c r="G7"/>
      <c r="H7"/>
      <c r="K7"/>
      <c r="L7"/>
    </row>
    <row r="8" spans="1:14" ht="15.75">
      <c r="A8" s="384" t="s">
        <v>547</v>
      </c>
      <c r="B8" s="398">
        <v>1538413</v>
      </c>
      <c r="C8" s="398">
        <v>1213532</v>
      </c>
      <c r="D8" s="421">
        <f t="shared" si="0"/>
        <v>2751945</v>
      </c>
      <c r="E8" s="399">
        <f t="shared" si="2"/>
        <v>0.78882068729268406</v>
      </c>
    </row>
    <row r="9" spans="1:14" ht="15.75">
      <c r="A9" s="384" t="s">
        <v>588</v>
      </c>
      <c r="B9" s="398">
        <v>1636967</v>
      </c>
      <c r="C9" s="398">
        <v>1211292</v>
      </c>
      <c r="D9" s="421">
        <f t="shared" si="0"/>
        <v>2848259</v>
      </c>
      <c r="E9" s="399">
        <f t="shared" si="2"/>
        <v>0.73996115987677213</v>
      </c>
    </row>
    <row r="10" spans="1:14" ht="15.75">
      <c r="A10" s="384" t="s">
        <v>586</v>
      </c>
      <c r="B10" s="398">
        <v>1795214</v>
      </c>
      <c r="C10" s="398">
        <v>1220432</v>
      </c>
      <c r="D10" s="421">
        <f t="shared" si="0"/>
        <v>3015646</v>
      </c>
      <c r="E10" s="399">
        <f t="shared" si="2"/>
        <v>0.67982535786819842</v>
      </c>
    </row>
    <row r="11" spans="1:14" ht="15.75">
      <c r="A11" s="384" t="s">
        <v>587</v>
      </c>
      <c r="B11" s="398">
        <v>1795214</v>
      </c>
      <c r="C11" s="398">
        <v>1220432</v>
      </c>
      <c r="D11" s="421">
        <f t="shared" si="0"/>
        <v>3015646</v>
      </c>
      <c r="E11" s="399">
        <f t="shared" si="2"/>
        <v>0.67982535786819842</v>
      </c>
    </row>
    <row r="12" spans="1:14" ht="15" customHeight="1">
      <c r="A12" s="384" t="s">
        <v>761</v>
      </c>
      <c r="B12" s="398">
        <v>1786117</v>
      </c>
      <c r="C12" s="398">
        <v>1214864</v>
      </c>
      <c r="D12" s="421">
        <v>3000981</v>
      </c>
      <c r="E12" s="399">
        <f t="shared" si="2"/>
        <v>0.68017044796057591</v>
      </c>
    </row>
    <row r="13" spans="1:14" ht="15" customHeight="1">
      <c r="A13" s="384" t="s">
        <v>909</v>
      </c>
      <c r="B13" s="398">
        <v>1782070</v>
      </c>
      <c r="C13" s="398">
        <v>1219963</v>
      </c>
      <c r="D13" s="421">
        <v>3002033</v>
      </c>
      <c r="E13" s="399">
        <v>0.68457636344251349</v>
      </c>
    </row>
    <row r="14" spans="1:14" ht="15" customHeight="1">
      <c r="A14" s="384" t="s">
        <v>917</v>
      </c>
      <c r="B14" s="398">
        <v>1806581</v>
      </c>
      <c r="C14" s="398">
        <v>1225984</v>
      </c>
      <c r="D14" s="421">
        <v>3032565</v>
      </c>
      <c r="E14" s="399">
        <v>0.67862110804885034</v>
      </c>
    </row>
    <row r="15" spans="1:14" ht="15" customHeight="1">
      <c r="A15" s="384" t="s">
        <v>931</v>
      </c>
      <c r="B15" s="398">
        <v>1811780</v>
      </c>
      <c r="C15" s="398">
        <v>1221857</v>
      </c>
      <c r="D15" s="421">
        <v>3033637</v>
      </c>
      <c r="E15" s="399">
        <v>0.67439589795670551</v>
      </c>
    </row>
    <row r="16" spans="1:14" ht="15.75">
      <c r="A16" s="397" t="s">
        <v>946</v>
      </c>
      <c r="B16" s="400">
        <v>1823787</v>
      </c>
      <c r="C16" s="400">
        <v>1213761</v>
      </c>
      <c r="D16" s="422">
        <f>+C16+B16</f>
        <v>3037548</v>
      </c>
      <c r="E16" s="401">
        <f>C16/B16</f>
        <v>0.66551686134400567</v>
      </c>
    </row>
  </sheetData>
  <mergeCells count="1">
    <mergeCell ref="A1:N1"/>
  </mergeCells>
  <printOptions horizontalCentered="1" verticalCentered="1"/>
  <pageMargins left="0.4" right="0.4" top="0.25" bottom="0.25" header="0.31496062992126" footer="0.31496062992126"/>
  <pageSetup scale="7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Z95"/>
  <sheetViews>
    <sheetView showGridLines="0" view="pageBreakPreview" zoomScale="55" zoomScaleNormal="100" zoomScaleSheetLayoutView="55" zoomScalePageLayoutView="62" workbookViewId="0">
      <selection activeCell="A54" sqref="A54:X54"/>
    </sheetView>
  </sheetViews>
  <sheetFormatPr baseColWidth="10" defaultColWidth="11.42578125" defaultRowHeight="15"/>
  <cols>
    <col min="1" max="1" width="14.140625" style="77" customWidth="1"/>
    <col min="2" max="2" width="16.28515625" style="77" customWidth="1"/>
    <col min="3" max="3" width="23.140625" style="77" customWidth="1"/>
    <col min="4" max="4" width="22.5703125" style="77" customWidth="1"/>
    <col min="5" max="5" width="19.140625" style="77" bestFit="1" customWidth="1"/>
    <col min="6" max="6" width="23.140625" style="77" customWidth="1"/>
    <col min="7" max="7" width="22.140625" style="77" customWidth="1"/>
    <col min="8" max="8" width="22.28515625" style="77" bestFit="1" customWidth="1"/>
    <col min="9" max="9" width="14.85546875" style="77" customWidth="1"/>
    <col min="10" max="10" width="16.140625" style="77" customWidth="1"/>
    <col min="11" max="11" width="10.5703125" style="77" customWidth="1"/>
    <col min="12" max="12" width="10.28515625" style="77" customWidth="1"/>
    <col min="13" max="13" width="13.140625" style="77" customWidth="1"/>
    <col min="14" max="15" width="11.140625" style="77" customWidth="1"/>
    <col min="16" max="16" width="13.7109375" style="77" customWidth="1"/>
    <col min="17" max="17" width="19.7109375" style="77" customWidth="1"/>
    <col min="18" max="18" width="16.140625" style="77" customWidth="1"/>
    <col min="19" max="19" width="14" style="77" customWidth="1"/>
    <col min="20" max="25" width="11.42578125" style="77"/>
    <col min="26" max="26" width="18.7109375" style="77" bestFit="1" customWidth="1"/>
    <col min="27" max="16384" width="11.42578125" style="77"/>
  </cols>
  <sheetData>
    <row r="1" spans="1:18" ht="109.5" customHeight="1">
      <c r="A1" s="1848"/>
      <c r="B1" s="1848"/>
      <c r="C1" s="1848"/>
      <c r="D1" s="1848"/>
      <c r="E1" s="1848"/>
      <c r="F1" s="1848"/>
      <c r="G1" s="1848"/>
      <c r="H1" s="1848"/>
      <c r="I1" s="1848"/>
      <c r="J1" s="1848"/>
      <c r="K1" s="1848"/>
      <c r="L1" s="1848"/>
      <c r="M1" s="1848"/>
      <c r="N1" s="1848"/>
      <c r="O1" s="1848"/>
      <c r="P1" s="1848"/>
    </row>
    <row r="2" spans="1:18" ht="9" customHeight="1">
      <c r="A2" s="1065"/>
      <c r="B2" s="1065"/>
      <c r="C2" s="1065"/>
      <c r="D2" s="1065"/>
      <c r="E2" s="1065"/>
      <c r="F2" s="1065"/>
      <c r="G2" s="1065"/>
      <c r="H2" s="1065"/>
      <c r="I2" s="1065"/>
      <c r="J2" s="1065"/>
      <c r="K2" s="1065"/>
      <c r="L2" s="1065"/>
      <c r="M2" s="1065"/>
      <c r="N2" s="1065"/>
      <c r="O2" s="1065"/>
      <c r="P2" s="1065"/>
    </row>
    <row r="3" spans="1:18" ht="21.75" customHeight="1">
      <c r="A3" s="1871" t="s">
        <v>47</v>
      </c>
      <c r="B3" s="1865" t="s">
        <v>50</v>
      </c>
      <c r="C3" s="1866"/>
      <c r="D3" s="1867" t="s">
        <v>953</v>
      </c>
      <c r="E3" s="1866" t="s">
        <v>51</v>
      </c>
      <c r="F3" s="1866"/>
      <c r="G3" s="1867" t="s">
        <v>723</v>
      </c>
      <c r="H3" s="1869" t="s">
        <v>766</v>
      </c>
      <c r="I3" s="1065"/>
      <c r="J3" s="1065"/>
      <c r="K3" s="1065"/>
      <c r="L3" s="1065"/>
      <c r="M3" s="1065"/>
      <c r="N3" s="1065"/>
      <c r="O3" s="1065"/>
      <c r="P3" s="1065"/>
      <c r="Q3" s="18"/>
      <c r="R3" s="18"/>
    </row>
    <row r="4" spans="1:18" s="50" customFormat="1" ht="45" customHeight="1">
      <c r="A4" s="1872"/>
      <c r="B4" s="1192" t="s">
        <v>718</v>
      </c>
      <c r="C4" s="1192" t="s">
        <v>719</v>
      </c>
      <c r="D4" s="1868"/>
      <c r="E4" s="1193" t="s">
        <v>718</v>
      </c>
      <c r="F4" s="1193" t="s">
        <v>719</v>
      </c>
      <c r="G4" s="1868"/>
      <c r="H4" s="1870"/>
      <c r="I4" s="77"/>
      <c r="J4" s="77"/>
      <c r="K4" s="77"/>
      <c r="L4" s="77"/>
      <c r="M4" s="77"/>
      <c r="N4" s="77"/>
      <c r="O4" s="77"/>
      <c r="P4" s="77"/>
      <c r="Q4" s="1795"/>
    </row>
    <row r="5" spans="1:18" ht="18.75" hidden="1">
      <c r="A5" s="899">
        <v>40940</v>
      </c>
      <c r="B5" s="900">
        <v>1190787</v>
      </c>
      <c r="C5" s="268" t="e">
        <f>#REF!+D5</f>
        <v>#REF!</v>
      </c>
      <c r="D5" s="1194">
        <v>98742</v>
      </c>
      <c r="E5" s="378" t="e">
        <f t="shared" ref="E5:E15" si="0">B5+C5</f>
        <v>#REF!</v>
      </c>
      <c r="F5" s="1067" t="e">
        <f t="shared" ref="F5:F23" si="1">B5/E5</f>
        <v>#REF!</v>
      </c>
      <c r="G5" s="1195"/>
      <c r="H5" s="1196"/>
      <c r="Q5" s="1795"/>
    </row>
    <row r="6" spans="1:18" ht="18.75" hidden="1">
      <c r="A6" s="899">
        <v>40969</v>
      </c>
      <c r="B6" s="900">
        <v>1205800</v>
      </c>
      <c r="C6" s="268" t="e">
        <f>#REF!+D6</f>
        <v>#REF!</v>
      </c>
      <c r="D6" s="1194">
        <v>101573</v>
      </c>
      <c r="E6" s="378" t="e">
        <f t="shared" si="0"/>
        <v>#REF!</v>
      </c>
      <c r="F6" s="1067" t="e">
        <f t="shared" si="1"/>
        <v>#REF!</v>
      </c>
      <c r="G6" s="1195"/>
      <c r="H6" s="1196"/>
      <c r="Q6" s="1795"/>
    </row>
    <row r="7" spans="1:18" ht="18.75" hidden="1">
      <c r="A7" s="899">
        <v>41000</v>
      </c>
      <c r="B7" s="900">
        <v>1211245</v>
      </c>
      <c r="C7" s="268" t="e">
        <f>#REF!+D7</f>
        <v>#REF!</v>
      </c>
      <c r="D7" s="1194">
        <v>103266</v>
      </c>
      <c r="E7" s="378" t="e">
        <f t="shared" si="0"/>
        <v>#REF!</v>
      </c>
      <c r="F7" s="1067" t="e">
        <f t="shared" si="1"/>
        <v>#REF!</v>
      </c>
      <c r="G7" s="1195"/>
      <c r="H7" s="1196"/>
      <c r="Q7" s="1795"/>
    </row>
    <row r="8" spans="1:18" ht="18.75" hidden="1">
      <c r="A8" s="899">
        <v>41030</v>
      </c>
      <c r="B8" s="900">
        <v>1214917</v>
      </c>
      <c r="C8" s="268" t="e">
        <f>#REF!+D8</f>
        <v>#REF!</v>
      </c>
      <c r="D8" s="1194">
        <v>105374</v>
      </c>
      <c r="E8" s="378" t="e">
        <f t="shared" si="0"/>
        <v>#REF!</v>
      </c>
      <c r="F8" s="1067" t="e">
        <f t="shared" si="1"/>
        <v>#REF!</v>
      </c>
      <c r="G8" s="1195"/>
      <c r="H8" s="1196"/>
      <c r="Q8" s="1795"/>
    </row>
    <row r="9" spans="1:18" ht="18.75" hidden="1">
      <c r="A9" s="899">
        <v>41061</v>
      </c>
      <c r="B9" s="900">
        <v>1223012</v>
      </c>
      <c r="C9" s="268" t="e">
        <f>#REF!+D9</f>
        <v>#REF!</v>
      </c>
      <c r="D9" s="1194">
        <v>107326</v>
      </c>
      <c r="E9" s="378" t="e">
        <f t="shared" si="0"/>
        <v>#REF!</v>
      </c>
      <c r="F9" s="1067" t="e">
        <f t="shared" si="1"/>
        <v>#REF!</v>
      </c>
      <c r="G9" s="1195"/>
      <c r="H9" s="1196"/>
      <c r="Q9" s="1795"/>
    </row>
    <row r="10" spans="1:18" ht="18.75" hidden="1">
      <c r="A10" s="899">
        <v>41122</v>
      </c>
      <c r="B10" s="900">
        <v>1221877</v>
      </c>
      <c r="C10" s="268" t="e">
        <f>#REF!+D10</f>
        <v>#REF!</v>
      </c>
      <c r="D10" s="1194">
        <v>108545</v>
      </c>
      <c r="E10" s="378" t="e">
        <f t="shared" si="0"/>
        <v>#REF!</v>
      </c>
      <c r="F10" s="1067" t="e">
        <f t="shared" si="1"/>
        <v>#REF!</v>
      </c>
      <c r="G10" s="1195"/>
      <c r="H10" s="1196"/>
      <c r="Q10" s="1795"/>
    </row>
    <row r="11" spans="1:18" ht="18.75" hidden="1">
      <c r="A11" s="899">
        <v>41153</v>
      </c>
      <c r="B11" s="900">
        <f>+'[2]IV.1.1.1 Afil. SFS RC Anual '!B9</f>
        <v>1242830</v>
      </c>
      <c r="C11" s="268" t="e">
        <f>#REF!+D11</f>
        <v>#REF!</v>
      </c>
      <c r="D11" s="1194">
        <v>111375</v>
      </c>
      <c r="E11" s="378" t="e">
        <f t="shared" si="0"/>
        <v>#REF!</v>
      </c>
      <c r="F11" s="1067" t="e">
        <f t="shared" si="1"/>
        <v>#REF!</v>
      </c>
      <c r="G11" s="1195"/>
      <c r="H11" s="1196"/>
      <c r="Q11" s="1795"/>
    </row>
    <row r="12" spans="1:18" ht="18.75" hidden="1">
      <c r="A12" s="899">
        <v>41183</v>
      </c>
      <c r="B12" s="379">
        <v>1229165</v>
      </c>
      <c r="C12" s="268" t="e">
        <f>#REF!+D12</f>
        <v>#REF!</v>
      </c>
      <c r="D12" s="1194">
        <v>111078</v>
      </c>
      <c r="E12" s="378" t="e">
        <f t="shared" si="0"/>
        <v>#REF!</v>
      </c>
      <c r="F12" s="1067" t="e">
        <f t="shared" si="1"/>
        <v>#REF!</v>
      </c>
      <c r="G12" s="1195"/>
      <c r="H12" s="1196"/>
      <c r="Q12" s="1795"/>
    </row>
    <row r="13" spans="1:18" s="141" customFormat="1" ht="18.75" hidden="1">
      <c r="A13" s="899">
        <v>41214</v>
      </c>
      <c r="B13" s="379">
        <v>1237619</v>
      </c>
      <c r="C13" s="268" t="e">
        <f>#REF!+D13</f>
        <v>#REF!</v>
      </c>
      <c r="D13" s="1194">
        <v>112188</v>
      </c>
      <c r="E13" s="378" t="e">
        <f t="shared" si="0"/>
        <v>#REF!</v>
      </c>
      <c r="F13" s="1067" t="e">
        <f t="shared" si="1"/>
        <v>#REF!</v>
      </c>
      <c r="G13" s="1195"/>
      <c r="H13" s="1196"/>
      <c r="I13" s="77"/>
      <c r="J13" s="77"/>
      <c r="K13" s="77"/>
      <c r="L13" s="77"/>
      <c r="M13" s="77"/>
      <c r="N13" s="77"/>
      <c r="O13" s="77"/>
      <c r="P13" s="77"/>
      <c r="Q13" s="1795"/>
    </row>
    <row r="14" spans="1:18" ht="18.75" hidden="1">
      <c r="A14" s="899">
        <v>41244</v>
      </c>
      <c r="B14" s="379">
        <v>1242830</v>
      </c>
      <c r="C14" s="268" t="e">
        <f>#REF!+D14</f>
        <v>#REF!</v>
      </c>
      <c r="D14" s="1194">
        <v>113103</v>
      </c>
      <c r="E14" s="378" t="e">
        <f t="shared" si="0"/>
        <v>#REF!</v>
      </c>
      <c r="F14" s="1067" t="e">
        <f t="shared" si="1"/>
        <v>#REF!</v>
      </c>
      <c r="G14" s="1195"/>
      <c r="H14" s="1196"/>
      <c r="Q14" s="1795"/>
    </row>
    <row r="15" spans="1:18" ht="18.75" hidden="1">
      <c r="A15" s="899">
        <v>41275</v>
      </c>
      <c r="B15" s="379">
        <v>1240536</v>
      </c>
      <c r="C15" s="268" t="e">
        <f>#REF!+D15</f>
        <v>#REF!</v>
      </c>
      <c r="D15" s="1194">
        <v>113923</v>
      </c>
      <c r="E15" s="378" t="e">
        <f t="shared" si="0"/>
        <v>#REF!</v>
      </c>
      <c r="F15" s="1067" t="e">
        <f t="shared" si="1"/>
        <v>#REF!</v>
      </c>
      <c r="G15" s="1195"/>
      <c r="H15" s="1196"/>
      <c r="Q15" s="1795"/>
    </row>
    <row r="16" spans="1:18" ht="18.75" hidden="1">
      <c r="A16" s="899">
        <v>41306</v>
      </c>
      <c r="B16" s="379">
        <v>1249039</v>
      </c>
      <c r="C16" s="268" t="e">
        <f>#REF!+D16</f>
        <v>#REF!</v>
      </c>
      <c r="D16" s="1194">
        <v>115450</v>
      </c>
      <c r="E16" s="378" t="e">
        <f>+B16+#REF!+D16</f>
        <v>#REF!</v>
      </c>
      <c r="F16" s="1067" t="e">
        <f t="shared" si="1"/>
        <v>#REF!</v>
      </c>
      <c r="G16" s="1195"/>
      <c r="H16" s="1196"/>
      <c r="Q16" s="1795"/>
    </row>
    <row r="17" spans="1:20" ht="18.75" hidden="1">
      <c r="A17" s="899">
        <v>41334</v>
      </c>
      <c r="B17" s="379">
        <v>1260455</v>
      </c>
      <c r="C17" s="268" t="e">
        <f>#REF!+D17</f>
        <v>#REF!</v>
      </c>
      <c r="D17" s="1194">
        <v>118102</v>
      </c>
      <c r="E17" s="378" t="e">
        <f>+B17+#REF!+D17</f>
        <v>#REF!</v>
      </c>
      <c r="F17" s="1067" t="e">
        <f t="shared" si="1"/>
        <v>#REF!</v>
      </c>
      <c r="G17" s="1195"/>
      <c r="H17" s="1196"/>
      <c r="Q17" s="1795"/>
    </row>
    <row r="18" spans="1:20" ht="18.75" hidden="1" customHeight="1">
      <c r="A18" s="899">
        <v>41365</v>
      </c>
      <c r="B18" s="379">
        <v>1264822</v>
      </c>
      <c r="C18" s="268" t="e">
        <f>#REF!+D18</f>
        <v>#REF!</v>
      </c>
      <c r="D18" s="1194">
        <v>119727</v>
      </c>
      <c r="E18" s="378" t="e">
        <f>+B18+#REF!+D18</f>
        <v>#REF!</v>
      </c>
      <c r="F18" s="1067" t="e">
        <f t="shared" si="1"/>
        <v>#REF!</v>
      </c>
      <c r="G18" s="1195"/>
      <c r="H18" s="1196"/>
      <c r="Q18" s="1795"/>
    </row>
    <row r="19" spans="1:20" ht="18.75" hidden="1">
      <c r="A19" s="899">
        <v>41395</v>
      </c>
      <c r="B19" s="379">
        <v>1277798</v>
      </c>
      <c r="C19" s="268" t="e">
        <f>#REF!+D19</f>
        <v>#REF!</v>
      </c>
      <c r="D19" s="1194">
        <v>122271</v>
      </c>
      <c r="E19" s="378" t="e">
        <f>+B19+#REF!+D19</f>
        <v>#REF!</v>
      </c>
      <c r="F19" s="1067" t="e">
        <f t="shared" si="1"/>
        <v>#REF!</v>
      </c>
      <c r="G19" s="1195"/>
      <c r="H19" s="1196"/>
      <c r="Q19" s="1795"/>
    </row>
    <row r="20" spans="1:20" ht="18.75" hidden="1">
      <c r="A20" s="899">
        <v>41426</v>
      </c>
      <c r="B20" s="379">
        <v>1287291</v>
      </c>
      <c r="C20" s="268" t="e">
        <f>#REF!+D20</f>
        <v>#REF!</v>
      </c>
      <c r="D20" s="1194">
        <v>124468</v>
      </c>
      <c r="E20" s="378" t="e">
        <f>+B20+#REF!+D20</f>
        <v>#REF!</v>
      </c>
      <c r="F20" s="1067" t="e">
        <f t="shared" si="1"/>
        <v>#REF!</v>
      </c>
      <c r="G20" s="1195"/>
      <c r="H20" s="1196"/>
      <c r="Q20" s="1795"/>
    </row>
    <row r="21" spans="1:20" ht="18.75" hidden="1">
      <c r="A21" s="899">
        <v>41456</v>
      </c>
      <c r="B21" s="379">
        <v>1291631</v>
      </c>
      <c r="C21" s="268" t="e">
        <f>#REF!+D21</f>
        <v>#REF!</v>
      </c>
      <c r="D21" s="1194">
        <v>126105</v>
      </c>
      <c r="E21" s="378" t="e">
        <f>+B21+#REF!+D21</f>
        <v>#REF!</v>
      </c>
      <c r="F21" s="1067" t="e">
        <f t="shared" si="1"/>
        <v>#REF!</v>
      </c>
      <c r="G21" s="1195"/>
      <c r="H21" s="1196"/>
      <c r="Q21" s="1795"/>
    </row>
    <row r="22" spans="1:20" ht="18.75" hidden="1">
      <c r="A22" s="899">
        <v>41487</v>
      </c>
      <c r="B22" s="379">
        <v>1300657</v>
      </c>
      <c r="C22" s="268" t="e">
        <f>#REF!+D22</f>
        <v>#REF!</v>
      </c>
      <c r="D22" s="1194">
        <v>127579</v>
      </c>
      <c r="E22" s="378" t="e">
        <f>+B22+#REF!+D22</f>
        <v>#REF!</v>
      </c>
      <c r="F22" s="1067" t="e">
        <f t="shared" si="1"/>
        <v>#REF!</v>
      </c>
      <c r="G22" s="1195"/>
      <c r="H22" s="1196"/>
      <c r="Q22" s="1795"/>
    </row>
    <row r="23" spans="1:20" ht="18.75" hidden="1">
      <c r="A23" s="899">
        <v>41518</v>
      </c>
      <c r="B23" s="379">
        <v>1303324</v>
      </c>
      <c r="C23" s="268" t="e">
        <f>#REF!+D23</f>
        <v>#REF!</v>
      </c>
      <c r="D23" s="1194">
        <v>128961</v>
      </c>
      <c r="E23" s="378" t="e">
        <f>+B23+#REF!+D23</f>
        <v>#REF!</v>
      </c>
      <c r="F23" s="1067" t="e">
        <f t="shared" si="1"/>
        <v>#REF!</v>
      </c>
      <c r="G23" s="1195"/>
      <c r="H23" s="1196"/>
      <c r="Q23" s="1795"/>
    </row>
    <row r="24" spans="1:20" ht="18.75" hidden="1">
      <c r="A24" s="899">
        <v>41548</v>
      </c>
      <c r="B24" s="379">
        <v>1299098</v>
      </c>
      <c r="C24" s="268" t="e">
        <f>#REF!+D24</f>
        <v>#REF!</v>
      </c>
      <c r="D24" s="1194">
        <v>130089</v>
      </c>
      <c r="E24" s="378" t="e">
        <f>+B24+#REF!+D24</f>
        <v>#REF!</v>
      </c>
      <c r="F24" s="1068" t="e">
        <f>C24/B24</f>
        <v>#REF!</v>
      </c>
      <c r="G24" s="1195"/>
      <c r="H24" s="1196"/>
      <c r="Q24" s="1795"/>
    </row>
    <row r="25" spans="1:20" ht="18.75" hidden="1">
      <c r="A25" s="899">
        <v>41579</v>
      </c>
      <c r="B25" s="379">
        <v>1312472</v>
      </c>
      <c r="C25" s="268" t="e">
        <f>#REF!+D25</f>
        <v>#REF!</v>
      </c>
      <c r="D25" s="1194">
        <v>131856</v>
      </c>
      <c r="E25" s="378" t="e">
        <f>+B25+#REF!+D25</f>
        <v>#REF!</v>
      </c>
      <c r="F25" s="1068" t="e">
        <f>C25/B25</f>
        <v>#REF!</v>
      </c>
      <c r="G25" s="1195"/>
      <c r="H25" s="1196"/>
      <c r="Q25" s="1795"/>
    </row>
    <row r="26" spans="1:20" ht="18.75" hidden="1">
      <c r="A26" s="899">
        <v>41609</v>
      </c>
      <c r="B26" s="379">
        <v>1297821</v>
      </c>
      <c r="C26" s="268" t="e">
        <f>#REF!+D26</f>
        <v>#REF!</v>
      </c>
      <c r="D26" s="1194">
        <v>132011</v>
      </c>
      <c r="E26" s="378" t="e">
        <f>+B26+#REF!+D26</f>
        <v>#REF!</v>
      </c>
      <c r="F26" s="1068" t="e">
        <f>C26/B26</f>
        <v>#REF!</v>
      </c>
      <c r="G26" s="1195"/>
      <c r="H26" s="1196"/>
      <c r="Q26" s="1795"/>
    </row>
    <row r="27" spans="1:20" ht="18.75">
      <c r="A27" s="1070" t="s">
        <v>512</v>
      </c>
      <c r="B27" s="1073">
        <v>169757</v>
      </c>
      <c r="C27" s="1058">
        <v>310064</v>
      </c>
      <c r="D27" s="1187">
        <f>B27+C27</f>
        <v>479821</v>
      </c>
      <c r="E27" s="1058">
        <v>303890</v>
      </c>
      <c r="F27" s="1058">
        <v>298225</v>
      </c>
      <c r="G27" s="1187">
        <f>E27+F27</f>
        <v>602115</v>
      </c>
      <c r="H27" s="1080">
        <f t="shared" ref="H27:H35" si="2">D27+G27</f>
        <v>1081936</v>
      </c>
      <c r="J27" s="165"/>
      <c r="K27" s="165"/>
      <c r="L27" s="165"/>
      <c r="M27" s="165"/>
      <c r="Q27" s="1795"/>
      <c r="R27" s="124"/>
      <c r="S27" s="165"/>
      <c r="T27" s="927"/>
    </row>
    <row r="28" spans="1:20" ht="18.75">
      <c r="A28" s="1062" t="s">
        <v>486</v>
      </c>
      <c r="B28" s="379">
        <v>169198</v>
      </c>
      <c r="C28" s="268">
        <v>376240</v>
      </c>
      <c r="D28" s="1188">
        <f t="shared" ref="D28:D34" si="3">B28+C28</f>
        <v>545438</v>
      </c>
      <c r="E28" s="268">
        <v>320751</v>
      </c>
      <c r="F28" s="268">
        <v>358454</v>
      </c>
      <c r="G28" s="1188">
        <f t="shared" ref="G28:G35" si="4">E28+F28</f>
        <v>679205</v>
      </c>
      <c r="H28" s="1081">
        <f t="shared" si="2"/>
        <v>1224643</v>
      </c>
      <c r="J28" s="165"/>
      <c r="K28" s="165"/>
      <c r="L28" s="165"/>
      <c r="M28" s="165"/>
      <c r="Q28" s="1795"/>
      <c r="R28" s="124"/>
      <c r="S28" s="165"/>
      <c r="T28" s="927"/>
    </row>
    <row r="29" spans="1:20" ht="18.75">
      <c r="A29" s="1071" t="s">
        <v>434</v>
      </c>
      <c r="B29" s="379">
        <v>213701</v>
      </c>
      <c r="C29" s="268">
        <v>401930</v>
      </c>
      <c r="D29" s="1188">
        <f t="shared" si="3"/>
        <v>615631</v>
      </c>
      <c r="E29" s="268">
        <v>408348</v>
      </c>
      <c r="F29" s="268">
        <v>380246</v>
      </c>
      <c r="G29" s="1188">
        <f t="shared" si="4"/>
        <v>788594</v>
      </c>
      <c r="H29" s="1081">
        <f t="shared" si="2"/>
        <v>1404225</v>
      </c>
      <c r="J29" s="165"/>
      <c r="K29" s="165"/>
      <c r="L29" s="165"/>
      <c r="M29" s="165"/>
      <c r="Q29" s="165"/>
      <c r="R29" s="124"/>
      <c r="S29" s="165"/>
      <c r="T29" s="927"/>
    </row>
    <row r="30" spans="1:20" ht="18.75">
      <c r="A30" s="1062" t="s">
        <v>435</v>
      </c>
      <c r="B30" s="379">
        <v>328922</v>
      </c>
      <c r="C30" s="268">
        <v>575714</v>
      </c>
      <c r="D30" s="1188">
        <f t="shared" si="3"/>
        <v>904636</v>
      </c>
      <c r="E30" s="268">
        <v>574328</v>
      </c>
      <c r="F30" s="268">
        <v>534822</v>
      </c>
      <c r="G30" s="1188">
        <f t="shared" si="4"/>
        <v>1109150</v>
      </c>
      <c r="H30" s="1081">
        <f t="shared" si="2"/>
        <v>2013786</v>
      </c>
      <c r="K30" s="165"/>
      <c r="L30" s="165"/>
      <c r="M30" s="165"/>
      <c r="Q30" s="1795"/>
      <c r="R30" s="124"/>
      <c r="S30" s="165"/>
      <c r="T30" s="927"/>
    </row>
    <row r="31" spans="1:20" ht="18.75">
      <c r="A31" s="1071" t="s">
        <v>436</v>
      </c>
      <c r="B31" s="379">
        <v>319816</v>
      </c>
      <c r="C31" s="268">
        <v>579358</v>
      </c>
      <c r="D31" s="1188">
        <f t="shared" si="3"/>
        <v>899174</v>
      </c>
      <c r="E31" s="268">
        <v>563959</v>
      </c>
      <c r="F31" s="268">
        <v>540294</v>
      </c>
      <c r="G31" s="1188">
        <f t="shared" si="4"/>
        <v>1104253</v>
      </c>
      <c r="H31" s="1081">
        <f t="shared" si="2"/>
        <v>2003427</v>
      </c>
      <c r="K31" s="268"/>
      <c r="L31" s="165"/>
      <c r="M31" s="165"/>
      <c r="Q31" s="1795"/>
      <c r="R31" s="124"/>
      <c r="T31" s="927"/>
    </row>
    <row r="32" spans="1:20" ht="18.75">
      <c r="A32" s="1062" t="s">
        <v>487</v>
      </c>
      <c r="B32" s="379">
        <v>446880</v>
      </c>
      <c r="C32" s="268">
        <v>584446</v>
      </c>
      <c r="D32" s="1188">
        <f t="shared" si="3"/>
        <v>1031326</v>
      </c>
      <c r="E32" s="268">
        <v>731160</v>
      </c>
      <c r="F32" s="268">
        <v>540865</v>
      </c>
      <c r="G32" s="1188">
        <f t="shared" si="4"/>
        <v>1272025</v>
      </c>
      <c r="H32" s="1081">
        <f t="shared" si="2"/>
        <v>2303351</v>
      </c>
      <c r="J32" s="182"/>
      <c r="K32" s="165"/>
      <c r="L32" s="165"/>
      <c r="M32" s="165"/>
      <c r="Q32" s="1795"/>
      <c r="R32" s="124"/>
      <c r="S32" s="284"/>
      <c r="T32" s="927"/>
    </row>
    <row r="33" spans="1:20" ht="18.75">
      <c r="A33" s="1071" t="s">
        <v>546</v>
      </c>
      <c r="B33" s="379">
        <v>625451</v>
      </c>
      <c r="C33" s="268">
        <v>617980</v>
      </c>
      <c r="D33" s="1188">
        <f t="shared" si="3"/>
        <v>1243431</v>
      </c>
      <c r="E33" s="268">
        <v>942774</v>
      </c>
      <c r="F33" s="268">
        <v>565548</v>
      </c>
      <c r="G33" s="1188">
        <f t="shared" si="4"/>
        <v>1508322</v>
      </c>
      <c r="H33" s="1081">
        <f t="shared" si="2"/>
        <v>2751753</v>
      </c>
      <c r="J33" s="182"/>
      <c r="K33" s="165"/>
      <c r="L33" s="165"/>
      <c r="M33" s="165"/>
      <c r="Q33" s="1795"/>
      <c r="R33" s="124"/>
      <c r="T33" s="927"/>
    </row>
    <row r="34" spans="1:20" ht="18.75">
      <c r="A34" s="1062" t="s">
        <v>586</v>
      </c>
      <c r="B34" s="379">
        <v>760801</v>
      </c>
      <c r="C34" s="268">
        <v>639717</v>
      </c>
      <c r="D34" s="1188">
        <f t="shared" si="3"/>
        <v>1400518</v>
      </c>
      <c r="E34" s="268">
        <v>1034413</v>
      </c>
      <c r="F34" s="268">
        <v>580715</v>
      </c>
      <c r="G34" s="1188">
        <f t="shared" si="4"/>
        <v>1615128</v>
      </c>
      <c r="H34" s="1081">
        <f t="shared" si="2"/>
        <v>3015646</v>
      </c>
      <c r="I34" s="284"/>
      <c r="J34" s="1399"/>
      <c r="K34" s="1694"/>
      <c r="L34" s="165"/>
      <c r="M34" s="165"/>
      <c r="Q34" s="1795"/>
      <c r="R34" s="124"/>
      <c r="T34" s="927"/>
    </row>
    <row r="35" spans="1:20" ht="18.75">
      <c r="A35" s="1072" t="s">
        <v>946</v>
      </c>
      <c r="B35" s="1626">
        <v>782490</v>
      </c>
      <c r="C35" s="1060">
        <v>634680</v>
      </c>
      <c r="D35" s="1189">
        <f>B35+C35</f>
        <v>1417170</v>
      </c>
      <c r="E35" s="1060">
        <v>1050408</v>
      </c>
      <c r="F35" s="1060">
        <v>575775</v>
      </c>
      <c r="G35" s="1189">
        <f t="shared" si="4"/>
        <v>1626183</v>
      </c>
      <c r="H35" s="1082">
        <f t="shared" si="2"/>
        <v>3043353</v>
      </c>
      <c r="I35" s="165"/>
      <c r="J35" s="165"/>
      <c r="K35" s="165"/>
      <c r="L35" s="165"/>
      <c r="M35" s="165"/>
      <c r="Q35" s="1075"/>
      <c r="R35" s="124"/>
      <c r="T35" s="927"/>
    </row>
    <row r="36" spans="1:20" ht="25.5" customHeight="1">
      <c r="A36" s="1851" t="s">
        <v>952</v>
      </c>
      <c r="B36" s="1851"/>
      <c r="C36" s="1851"/>
      <c r="D36" s="1851"/>
      <c r="E36" s="1851"/>
      <c r="F36" s="1851"/>
      <c r="H36" s="31"/>
      <c r="I36" s="31"/>
      <c r="K36" s="31"/>
      <c r="L36" s="31"/>
      <c r="M36" s="31"/>
      <c r="N36" s="31"/>
      <c r="O36" s="31"/>
      <c r="P36" s="31"/>
    </row>
    <row r="37" spans="1:20" ht="25.5" customHeight="1">
      <c r="A37" s="31"/>
      <c r="B37" s="31"/>
      <c r="C37" s="31"/>
      <c r="D37" s="31"/>
      <c r="E37" s="31"/>
      <c r="F37" s="31"/>
      <c r="H37" s="31"/>
      <c r="I37" s="31"/>
      <c r="J37" s="31"/>
      <c r="K37" s="31"/>
      <c r="L37" s="31"/>
      <c r="M37" s="31"/>
      <c r="N37" s="31"/>
      <c r="O37" s="31"/>
      <c r="P37" s="31"/>
    </row>
    <row r="38" spans="1:20" ht="25.5" customHeight="1">
      <c r="A38" s="31"/>
      <c r="B38" s="31"/>
      <c r="C38" s="31"/>
      <c r="D38" s="31"/>
      <c r="E38" s="31"/>
      <c r="F38" s="31"/>
      <c r="H38" s="31"/>
      <c r="I38" s="31"/>
      <c r="J38" s="31"/>
      <c r="K38" s="31"/>
      <c r="L38" s="31"/>
      <c r="M38" s="31"/>
      <c r="N38" s="31"/>
      <c r="O38" s="31"/>
      <c r="P38" s="31"/>
      <c r="Q38" s="124"/>
    </row>
    <row r="39" spans="1:20" ht="25.5" customHeight="1">
      <c r="H39" s="31"/>
      <c r="I39" s="31"/>
      <c r="J39" s="31"/>
      <c r="K39" s="31"/>
      <c r="L39" s="31"/>
      <c r="M39" s="31"/>
      <c r="N39" s="31"/>
      <c r="O39" s="31"/>
      <c r="P39" s="31"/>
      <c r="Q39" s="124"/>
    </row>
    <row r="40" spans="1:20" ht="25.5" customHeight="1">
      <c r="A40" s="31"/>
      <c r="B40" s="31"/>
      <c r="C40" s="31"/>
      <c r="D40" s="31"/>
      <c r="E40" s="31"/>
      <c r="F40" s="31"/>
      <c r="H40" s="31"/>
      <c r="I40" s="31"/>
      <c r="J40" s="31"/>
      <c r="K40" s="31"/>
      <c r="L40" s="31"/>
      <c r="M40" s="31"/>
      <c r="N40" s="31"/>
      <c r="O40" s="31"/>
      <c r="P40" s="31"/>
      <c r="Q40" s="124"/>
      <c r="R40" s="284"/>
    </row>
    <row r="41" spans="1:20" ht="25.5" customHeight="1">
      <c r="A41" s="31"/>
      <c r="B41" s="31"/>
      <c r="C41" s="31"/>
      <c r="D41" s="31"/>
      <c r="E41" s="31"/>
      <c r="F41" s="31"/>
      <c r="H41" s="31"/>
      <c r="I41" s="31"/>
      <c r="J41" s="31"/>
      <c r="K41" s="31"/>
      <c r="L41" s="31"/>
      <c r="M41" s="31"/>
      <c r="N41" s="31"/>
      <c r="O41" s="31"/>
      <c r="P41" s="31"/>
      <c r="Q41" s="124"/>
      <c r="R41" s="284"/>
    </row>
    <row r="42" spans="1:20" ht="25.5" customHeight="1">
      <c r="A42" s="31"/>
      <c r="B42" s="31"/>
      <c r="C42" s="31"/>
      <c r="D42" s="31"/>
      <c r="E42" s="31"/>
      <c r="F42" s="31"/>
      <c r="G42" s="31"/>
      <c r="H42" s="31"/>
      <c r="I42" s="31"/>
      <c r="J42" s="31"/>
      <c r="K42" s="31"/>
      <c r="L42" s="31"/>
      <c r="M42" s="31"/>
      <c r="N42" s="31"/>
      <c r="O42" s="31"/>
      <c r="P42" s="31"/>
      <c r="Q42" s="124"/>
      <c r="R42" s="284"/>
    </row>
    <row r="43" spans="1:20" ht="25.5" customHeight="1">
      <c r="A43" s="31"/>
      <c r="B43" s="31"/>
      <c r="C43" s="31"/>
      <c r="D43" s="31"/>
      <c r="E43" s="31"/>
      <c r="F43" s="31"/>
      <c r="G43" s="31"/>
      <c r="H43" s="31"/>
      <c r="I43" s="31"/>
      <c r="J43" s="31"/>
      <c r="K43" s="31"/>
      <c r="L43" s="31"/>
      <c r="M43" s="31"/>
      <c r="N43" s="31"/>
      <c r="O43" s="31"/>
      <c r="P43" s="31"/>
      <c r="Q43" s="124"/>
      <c r="R43" s="284"/>
    </row>
    <row r="44" spans="1:20" ht="25.5" customHeight="1">
      <c r="A44" s="31"/>
      <c r="B44" s="31"/>
      <c r="C44" s="31"/>
      <c r="D44" s="31"/>
      <c r="E44" s="31"/>
      <c r="F44" s="31"/>
      <c r="G44" s="31"/>
      <c r="H44" s="31"/>
      <c r="I44" s="31"/>
      <c r="J44" s="31"/>
      <c r="K44" s="31"/>
      <c r="L44" s="31"/>
      <c r="M44" s="31"/>
      <c r="N44" s="31"/>
      <c r="O44" s="31"/>
      <c r="P44" s="31"/>
      <c r="Q44" s="124"/>
      <c r="R44" s="284"/>
    </row>
    <row r="45" spans="1:20" ht="25.5" customHeight="1">
      <c r="A45" s="31"/>
      <c r="B45" s="31"/>
      <c r="C45" s="31"/>
      <c r="D45" s="31"/>
      <c r="E45" s="31"/>
      <c r="F45" s="31"/>
      <c r="G45" s="31"/>
      <c r="H45" s="31"/>
      <c r="I45" s="31"/>
      <c r="J45" s="31"/>
      <c r="K45" s="31"/>
      <c r="L45" s="31"/>
      <c r="M45" s="31"/>
      <c r="N45" s="31"/>
      <c r="O45" s="31"/>
      <c r="P45" s="31"/>
      <c r="Q45" s="124"/>
      <c r="R45" s="284"/>
    </row>
    <row r="46" spans="1:20" ht="25.5" customHeight="1">
      <c r="A46" s="31"/>
      <c r="B46" s="31"/>
      <c r="C46" s="31"/>
      <c r="D46" s="31"/>
      <c r="E46" s="31"/>
      <c r="F46" s="31"/>
      <c r="G46" s="31"/>
      <c r="H46" s="31"/>
      <c r="I46" s="31"/>
      <c r="J46" s="31"/>
      <c r="K46" s="31"/>
      <c r="L46" s="31"/>
      <c r="M46" s="31"/>
      <c r="N46" s="31"/>
      <c r="O46" s="31"/>
      <c r="P46" s="31"/>
      <c r="Q46" s="124"/>
      <c r="R46" s="284"/>
    </row>
    <row r="47" spans="1:20" ht="25.5" customHeight="1">
      <c r="A47" s="31"/>
      <c r="B47" s="31"/>
      <c r="C47" s="31"/>
      <c r="D47" s="31"/>
      <c r="E47" s="31"/>
      <c r="F47" s="31"/>
      <c r="G47" s="31"/>
      <c r="H47" s="31"/>
      <c r="I47" s="31"/>
      <c r="J47" s="31"/>
      <c r="K47" s="31"/>
      <c r="L47" s="31"/>
      <c r="M47" s="31"/>
      <c r="N47" s="31"/>
      <c r="O47" s="31"/>
      <c r="P47" s="31"/>
      <c r="Q47" s="124"/>
      <c r="R47" s="284"/>
    </row>
    <row r="48" spans="1:20" ht="25.5" customHeight="1">
      <c r="A48" s="31"/>
      <c r="B48" s="31"/>
      <c r="C48" s="31"/>
      <c r="D48" s="31"/>
      <c r="E48" s="31"/>
      <c r="F48" s="31"/>
      <c r="G48" s="31"/>
      <c r="H48" s="31"/>
      <c r="I48" s="31"/>
      <c r="J48" s="31"/>
      <c r="K48" s="31"/>
      <c r="L48" s="31"/>
      <c r="M48" s="31"/>
      <c r="N48" s="31"/>
      <c r="O48" s="31"/>
      <c r="P48" s="31"/>
      <c r="Q48" s="284"/>
      <c r="R48" s="284"/>
    </row>
    <row r="49" spans="1:26">
      <c r="M49" s="95"/>
      <c r="N49" s="95"/>
      <c r="O49" s="95"/>
      <c r="P49" s="95"/>
      <c r="Q49" s="284"/>
      <c r="R49" s="18"/>
      <c r="S49" s="96"/>
      <c r="T49" s="96"/>
      <c r="U49" s="96"/>
      <c r="V49" s="96"/>
      <c r="W49" s="96"/>
      <c r="X49" s="96"/>
      <c r="Y49" s="96"/>
      <c r="Z49" s="96"/>
    </row>
    <row r="50" spans="1:26">
      <c r="M50" s="95"/>
      <c r="N50" s="95"/>
      <c r="O50" s="95"/>
      <c r="P50" s="95"/>
      <c r="Q50" s="284"/>
      <c r="R50" s="96"/>
      <c r="S50" s="96"/>
      <c r="T50" s="96"/>
      <c r="U50" s="96"/>
      <c r="V50" s="96"/>
      <c r="W50" s="96"/>
      <c r="X50" s="96"/>
      <c r="Y50" s="96"/>
      <c r="Z50" s="96"/>
    </row>
    <row r="51" spans="1:26">
      <c r="M51" s="95"/>
      <c r="N51" s="95"/>
      <c r="O51" s="95"/>
      <c r="P51" s="95"/>
      <c r="Q51" s="1439"/>
      <c r="R51" s="96"/>
      <c r="S51" s="96"/>
      <c r="T51" s="96"/>
      <c r="U51" s="96"/>
      <c r="V51" s="96"/>
      <c r="W51" s="96"/>
      <c r="X51" s="96"/>
      <c r="Y51" s="96"/>
      <c r="Z51" s="96"/>
    </row>
    <row r="52" spans="1:26">
      <c r="M52" s="95"/>
      <c r="N52" s="95"/>
      <c r="O52" s="95"/>
      <c r="P52" s="95"/>
      <c r="Q52" s="96"/>
      <c r="R52" s="96"/>
      <c r="S52" s="96"/>
      <c r="T52" s="96"/>
      <c r="U52" s="96"/>
      <c r="V52" s="96"/>
      <c r="W52" s="96"/>
      <c r="X52" s="96"/>
      <c r="Y52" s="96"/>
      <c r="Z52" s="96"/>
    </row>
    <row r="53" spans="1:26" ht="51" customHeight="1">
      <c r="M53" s="95"/>
      <c r="N53" s="95"/>
      <c r="O53" s="95"/>
      <c r="P53" s="95"/>
      <c r="Q53" s="96"/>
      <c r="R53" s="96"/>
      <c r="S53" s="18"/>
      <c r="T53" s="18"/>
      <c r="U53" s="96"/>
      <c r="V53" s="96"/>
      <c r="W53" s="96"/>
      <c r="X53" s="96"/>
      <c r="Y53" s="96"/>
      <c r="Z53" s="96"/>
    </row>
    <row r="54" spans="1:26" ht="78" customHeight="1">
      <c r="A54" s="1834"/>
      <c r="B54" s="1834"/>
      <c r="C54" s="1834"/>
      <c r="D54" s="1834"/>
      <c r="E54" s="1834"/>
      <c r="F54" s="1834"/>
      <c r="G54" s="1834"/>
      <c r="H54" s="1834"/>
      <c r="I54" s="1834"/>
      <c r="J54" s="1834"/>
      <c r="K54" s="1834"/>
      <c r="L54" s="1834"/>
      <c r="M54" s="1834"/>
      <c r="N54" s="1834"/>
      <c r="O54" s="1834"/>
      <c r="P54" s="1834"/>
      <c r="Q54" s="1834"/>
      <c r="R54" s="1834"/>
      <c r="S54" s="1834"/>
      <c r="T54" s="1834"/>
      <c r="U54" s="1834"/>
      <c r="V54" s="1834"/>
      <c r="W54" s="1834"/>
      <c r="X54" s="1834"/>
      <c r="Y54" s="96"/>
      <c r="Z54" s="96"/>
    </row>
    <row r="55" spans="1:26">
      <c r="M55" s="96"/>
      <c r="N55" s="96"/>
      <c r="O55" s="96"/>
      <c r="P55" s="96"/>
      <c r="Q55" s="96"/>
    </row>
    <row r="56" spans="1:26">
      <c r="M56" s="96"/>
      <c r="N56" s="96"/>
      <c r="O56" s="96"/>
      <c r="P56" s="96"/>
      <c r="Q56" s="96"/>
    </row>
    <row r="57" spans="1:26">
      <c r="M57" s="96"/>
      <c r="N57" s="96"/>
      <c r="O57" s="96"/>
      <c r="P57" s="96"/>
      <c r="Q57" s="96"/>
    </row>
    <row r="58" spans="1:26">
      <c r="M58" s="96"/>
      <c r="N58" s="96"/>
      <c r="O58" s="96"/>
      <c r="P58" s="96"/>
      <c r="Q58" s="96"/>
    </row>
    <row r="59" spans="1:26">
      <c r="M59" s="96"/>
      <c r="N59" s="96"/>
      <c r="O59" s="96"/>
      <c r="P59" s="96"/>
      <c r="Q59" s="96"/>
    </row>
    <row r="60" spans="1:26">
      <c r="M60" s="96"/>
      <c r="N60" s="96"/>
      <c r="O60" s="96"/>
      <c r="P60" s="96"/>
      <c r="Q60" s="96"/>
      <c r="R60" s="96"/>
      <c r="S60" s="96"/>
      <c r="T60" s="96"/>
      <c r="U60" s="96"/>
      <c r="V60" s="96"/>
      <c r="W60" s="96"/>
      <c r="X60" s="96"/>
      <c r="Y60" s="96"/>
      <c r="Z60" s="96"/>
    </row>
    <row r="61" spans="1:26">
      <c r="M61" s="96"/>
      <c r="N61" s="96"/>
      <c r="O61" s="96"/>
      <c r="P61" s="96"/>
      <c r="Q61" s="96"/>
      <c r="R61" s="96"/>
      <c r="S61" s="96"/>
      <c r="T61" s="96"/>
      <c r="U61" s="96"/>
      <c r="V61" s="96"/>
      <c r="W61" s="96"/>
      <c r="X61" s="96"/>
      <c r="Y61" s="96"/>
      <c r="Z61" s="96"/>
    </row>
    <row r="62" spans="1:26">
      <c r="M62" s="96"/>
      <c r="N62" s="96"/>
      <c r="O62" s="96"/>
      <c r="P62" s="96"/>
      <c r="Q62" s="96"/>
      <c r="R62" s="96"/>
      <c r="S62" s="96"/>
      <c r="T62" s="96"/>
      <c r="U62" s="96"/>
      <c r="V62" s="96"/>
      <c r="W62" s="96"/>
      <c r="X62" s="96"/>
      <c r="Y62" s="96"/>
      <c r="Z62" s="96"/>
    </row>
    <row r="75" spans="18:23">
      <c r="R75" s="96"/>
      <c r="S75" s="96"/>
      <c r="T75" s="96"/>
      <c r="U75" s="96"/>
      <c r="V75" s="96"/>
      <c r="W75" s="96"/>
    </row>
    <row r="76" spans="18:23">
      <c r="R76" s="96"/>
      <c r="S76" s="96"/>
      <c r="T76" s="96"/>
      <c r="U76" s="96"/>
      <c r="V76" s="96"/>
      <c r="W76" s="96"/>
    </row>
    <row r="77" spans="18:23">
      <c r="R77" s="96"/>
      <c r="S77" s="96"/>
      <c r="T77" s="96"/>
      <c r="U77" s="96"/>
      <c r="V77" s="96"/>
      <c r="W77" s="96"/>
    </row>
    <row r="78" spans="18:23">
      <c r="R78" s="96"/>
      <c r="S78" s="96"/>
      <c r="T78" s="96"/>
      <c r="U78" s="96"/>
      <c r="V78" s="96"/>
      <c r="W78" s="96"/>
    </row>
    <row r="79" spans="18:23">
      <c r="R79" s="96"/>
      <c r="S79" s="96"/>
      <c r="T79" s="96"/>
      <c r="U79" s="96"/>
      <c r="V79" s="96"/>
      <c r="W79" s="96"/>
    </row>
    <row r="80" spans="18:23">
      <c r="R80" s="96"/>
      <c r="S80" s="96"/>
      <c r="T80" s="96"/>
      <c r="U80" s="96"/>
      <c r="V80" s="96"/>
      <c r="W80" s="96"/>
    </row>
    <row r="81" spans="18:23">
      <c r="R81" s="96"/>
      <c r="S81" s="96"/>
      <c r="T81" s="96"/>
      <c r="U81" s="96"/>
      <c r="V81" s="96"/>
      <c r="W81" s="96"/>
    </row>
    <row r="82" spans="18:23">
      <c r="R82" s="96"/>
      <c r="S82" s="96"/>
      <c r="T82" s="96"/>
      <c r="U82" s="96"/>
      <c r="V82" s="96"/>
      <c r="W82" s="96"/>
    </row>
    <row r="92" spans="18:23">
      <c r="R92" s="96"/>
      <c r="S92" s="96"/>
      <c r="T92" s="96"/>
      <c r="U92" s="96"/>
      <c r="V92" s="96"/>
      <c r="W92" s="96"/>
    </row>
    <row r="93" spans="18:23">
      <c r="R93" s="96"/>
      <c r="S93" s="96"/>
      <c r="T93" s="96"/>
      <c r="U93" s="96"/>
      <c r="V93" s="96"/>
      <c r="W93" s="96"/>
    </row>
    <row r="94" spans="18:23">
      <c r="R94" s="96"/>
      <c r="S94" s="96"/>
      <c r="T94" s="96"/>
      <c r="U94" s="96"/>
      <c r="V94" s="96"/>
      <c r="W94" s="96"/>
    </row>
    <row r="95" spans="18:23">
      <c r="R95" s="96"/>
      <c r="S95" s="96"/>
      <c r="T95" s="96"/>
      <c r="U95" s="96"/>
      <c r="V95" s="96"/>
      <c r="W95" s="96"/>
    </row>
  </sheetData>
  <mergeCells count="9">
    <mergeCell ref="A36:F36"/>
    <mergeCell ref="A54:X54"/>
    <mergeCell ref="A1:P1"/>
    <mergeCell ref="B3:C3"/>
    <mergeCell ref="D3:D4"/>
    <mergeCell ref="E3:F3"/>
    <mergeCell ref="G3:G4"/>
    <mergeCell ref="H3:H4"/>
    <mergeCell ref="A3:A4"/>
  </mergeCells>
  <printOptions horizontalCentered="1" verticalCentered="1"/>
  <pageMargins left="0.39370078740157483" right="0.39370078740157483" top="0.23622047244094491" bottom="0.23622047244094491" header="0.31496062992125984" footer="0.31496062992125984"/>
  <pageSetup paperSize="10023" scale="4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4"/>
  <sheetViews>
    <sheetView showGridLines="0" view="pageBreakPreview" zoomScale="55" zoomScaleNormal="70" zoomScaleSheetLayoutView="55" workbookViewId="0">
      <selection activeCell="L38" sqref="L38"/>
    </sheetView>
  </sheetViews>
  <sheetFormatPr baseColWidth="10" defaultColWidth="11.5703125" defaultRowHeight="15"/>
  <cols>
    <col min="1" max="1" width="15.42578125" customWidth="1"/>
    <col min="2" max="2" width="18.28515625" customWidth="1"/>
    <col min="3" max="3" width="23.85546875" style="77" customWidth="1"/>
    <col min="4" max="4" width="22.42578125" customWidth="1"/>
    <col min="5" max="5" width="17.28515625" customWidth="1"/>
    <col min="6" max="6" width="21.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78" customHeight="1">
      <c r="A1" s="1873"/>
      <c r="B1" s="1873"/>
      <c r="C1" s="1873"/>
      <c r="D1" s="1873"/>
      <c r="E1" s="1873"/>
      <c r="F1" s="1873"/>
      <c r="G1" s="1873"/>
      <c r="H1" s="1873"/>
      <c r="I1" s="1873"/>
      <c r="J1" s="1873"/>
      <c r="K1" s="1873"/>
    </row>
    <row r="2" spans="1:13" ht="3.75" customHeight="1">
      <c r="A2" s="1874" t="s">
        <v>227</v>
      </c>
      <c r="B2" s="1874"/>
      <c r="C2" s="1874"/>
      <c r="D2" s="1874"/>
      <c r="E2" s="1874"/>
      <c r="F2" s="1874"/>
      <c r="G2" s="1874"/>
      <c r="H2" s="1874"/>
      <c r="I2" s="1874"/>
      <c r="J2" s="1874"/>
      <c r="K2" s="1874"/>
    </row>
    <row r="3" spans="1:13" ht="84" hidden="1" customHeight="1">
      <c r="A3" s="1874"/>
      <c r="B3" s="1874"/>
      <c r="C3" s="1874"/>
      <c r="D3" s="1874"/>
      <c r="E3" s="1874"/>
      <c r="F3" s="1874"/>
      <c r="G3" s="1874"/>
      <c r="H3" s="1874"/>
      <c r="I3" s="1874"/>
      <c r="J3" s="1874"/>
      <c r="K3" s="1874"/>
    </row>
    <row r="4" spans="1:13" ht="60.75" customHeight="1">
      <c r="A4" s="333" t="s">
        <v>25</v>
      </c>
      <c r="B4" s="1190" t="s">
        <v>536</v>
      </c>
      <c r="C4" s="332" t="s">
        <v>459</v>
      </c>
      <c r="D4" s="332" t="s">
        <v>600</v>
      </c>
      <c r="E4" s="332" t="s">
        <v>537</v>
      </c>
      <c r="F4" s="1191" t="s">
        <v>197</v>
      </c>
      <c r="G4" s="127"/>
      <c r="H4" s="127"/>
      <c r="I4" s="127"/>
      <c r="J4" s="127"/>
      <c r="K4" s="128"/>
    </row>
    <row r="5" spans="1:13" ht="18.75">
      <c r="A5" s="395" t="s">
        <v>28</v>
      </c>
      <c r="B5" s="1100">
        <f>+'III.3.2. Afil anual SFS RS '!D4</f>
        <v>253374</v>
      </c>
      <c r="C5" s="1101">
        <v>0.47899999999999998</v>
      </c>
      <c r="D5" s="1102">
        <f>F5*C5</f>
        <v>4295740.9759999998</v>
      </c>
      <c r="E5" s="1103">
        <f>B5/D5</f>
        <v>5.8982606590011498E-2</v>
      </c>
      <c r="F5" s="1104">
        <v>8968144</v>
      </c>
      <c r="H5" s="127"/>
      <c r="I5" s="127"/>
      <c r="J5" s="127"/>
      <c r="K5" s="128"/>
    </row>
    <row r="6" spans="1:13" ht="20.25" customHeight="1">
      <c r="A6" s="395" t="s">
        <v>29</v>
      </c>
      <c r="B6" s="1105">
        <f>+'III.3.2. Afil anual SFS RS '!D5</f>
        <v>514040</v>
      </c>
      <c r="C6" s="1106">
        <v>0.442</v>
      </c>
      <c r="D6" s="1107">
        <f t="shared" ref="D6:D14" si="0">F6*C6</f>
        <v>4009960.1359999999</v>
      </c>
      <c r="E6" s="1108">
        <f t="shared" ref="E6:E15" si="1">B6/D6</f>
        <v>0.12819080054814788</v>
      </c>
      <c r="F6" s="1109">
        <v>9072308</v>
      </c>
      <c r="G6" s="127"/>
      <c r="H6" s="127"/>
      <c r="I6" s="127"/>
      <c r="J6" s="127"/>
      <c r="K6" s="128"/>
      <c r="L6" s="127"/>
      <c r="M6" s="127"/>
    </row>
    <row r="7" spans="1:13" ht="20.25" customHeight="1">
      <c r="A7" s="395" t="s">
        <v>30</v>
      </c>
      <c r="B7" s="1105">
        <f>+'III.3.2. Afil anual SFS RS '!D6</f>
        <v>1081936</v>
      </c>
      <c r="C7" s="1106">
        <v>0.436</v>
      </c>
      <c r="D7" s="1107">
        <f t="shared" si="0"/>
        <v>4000415.54</v>
      </c>
      <c r="E7" s="1108">
        <f t="shared" si="1"/>
        <v>0.2704559036884453</v>
      </c>
      <c r="F7" s="1109">
        <v>9175265</v>
      </c>
      <c r="H7" s="127"/>
      <c r="I7" s="127"/>
      <c r="J7" s="127"/>
      <c r="K7" s="128"/>
      <c r="L7" s="127"/>
      <c r="M7" s="127"/>
    </row>
    <row r="8" spans="1:13" ht="20.25" customHeight="1">
      <c r="A8" s="395" t="s">
        <v>31</v>
      </c>
      <c r="B8" s="1105">
        <f>+'III.3.2. Afil anual SFS RS '!D7</f>
        <v>1224898</v>
      </c>
      <c r="C8" s="1106">
        <v>0.442</v>
      </c>
      <c r="D8" s="1107">
        <f t="shared" si="0"/>
        <v>4100514.0019999999</v>
      </c>
      <c r="E8" s="1108">
        <f t="shared" si="1"/>
        <v>0.29871816055318035</v>
      </c>
      <c r="F8" s="1109">
        <v>9277181</v>
      </c>
      <c r="H8" s="127"/>
      <c r="I8" s="127"/>
      <c r="J8" s="127"/>
      <c r="K8" s="128"/>
      <c r="L8" s="127"/>
      <c r="M8" s="127"/>
    </row>
    <row r="9" spans="1:13" ht="18.75" customHeight="1">
      <c r="A9" s="395" t="s">
        <v>32</v>
      </c>
      <c r="B9" s="1105">
        <f>+'III.3.2. Afil anual SFS RS '!D8</f>
        <v>1404225</v>
      </c>
      <c r="C9" s="1106">
        <v>0.42099999999999999</v>
      </c>
      <c r="D9" s="1107">
        <f t="shared" si="0"/>
        <v>3948329.5549999997</v>
      </c>
      <c r="E9" s="1108">
        <f t="shared" si="1"/>
        <v>0.35565040365532508</v>
      </c>
      <c r="F9" s="1109">
        <v>9378455</v>
      </c>
      <c r="G9" s="127"/>
      <c r="H9" s="127"/>
      <c r="I9" s="127"/>
      <c r="J9" s="127"/>
      <c r="K9" s="128"/>
    </row>
    <row r="10" spans="1:13" ht="20.25" customHeight="1">
      <c r="A10" s="395" t="s">
        <v>195</v>
      </c>
      <c r="B10" s="1105">
        <f>+'III.3.2. Afil anual SFS RS '!D9</f>
        <v>2013786</v>
      </c>
      <c r="C10" s="1106">
        <v>0.41599999999999998</v>
      </c>
      <c r="D10" s="1107">
        <f t="shared" si="0"/>
        <v>3943102.5919999997</v>
      </c>
      <c r="E10" s="1108">
        <f t="shared" si="1"/>
        <v>0.51071103351094349</v>
      </c>
      <c r="F10" s="1109">
        <v>9478612</v>
      </c>
      <c r="G10" s="127"/>
      <c r="H10" s="127"/>
      <c r="I10" s="127"/>
      <c r="J10" s="127"/>
      <c r="K10" s="128"/>
      <c r="L10" s="134"/>
    </row>
    <row r="11" spans="1:13" ht="18.75">
      <c r="A11" s="395" t="s">
        <v>241</v>
      </c>
      <c r="B11" s="1105">
        <f>+'III.3.2. Afil anual SFS RS '!D10</f>
        <v>2003427</v>
      </c>
      <c r="C11" s="1106">
        <v>0.40400000000000003</v>
      </c>
      <c r="D11" s="1107">
        <f t="shared" si="0"/>
        <v>3870313.1320000002</v>
      </c>
      <c r="E11" s="1108">
        <f t="shared" si="1"/>
        <v>0.51763951175824396</v>
      </c>
      <c r="F11" s="1109">
        <v>9579983</v>
      </c>
      <c r="G11" s="23"/>
      <c r="H11" s="127"/>
      <c r="I11" s="127"/>
      <c r="J11" s="23"/>
      <c r="K11" s="23"/>
    </row>
    <row r="12" spans="1:13" s="77" customFormat="1" ht="18.75">
      <c r="A12" s="395" t="s">
        <v>484</v>
      </c>
      <c r="B12" s="1105">
        <f>+'III.3.2. Afil anual SFS RS '!D11</f>
        <v>2303351</v>
      </c>
      <c r="C12" s="1106">
        <v>0.40899999999999997</v>
      </c>
      <c r="D12" s="1107">
        <f t="shared" si="0"/>
        <v>3959338.406</v>
      </c>
      <c r="E12" s="1108">
        <f t="shared" si="1"/>
        <v>0.58175148567990331</v>
      </c>
      <c r="F12" s="1109">
        <v>9680534</v>
      </c>
      <c r="G12" s="23"/>
      <c r="H12" s="127"/>
      <c r="I12" s="127"/>
      <c r="J12" s="23"/>
      <c r="K12" s="23"/>
    </row>
    <row r="13" spans="1:13" s="77" customFormat="1" ht="18.75">
      <c r="A13" s="395" t="s">
        <v>565</v>
      </c>
      <c r="B13" s="1105">
        <f>+'III.3.2. Afil anual SFS RS '!D12</f>
        <v>2751753</v>
      </c>
      <c r="C13" s="1106">
        <v>0.41199999999999998</v>
      </c>
      <c r="D13" s="1107">
        <f t="shared" si="0"/>
        <v>4029666.1159999999</v>
      </c>
      <c r="E13" s="1108">
        <f t="shared" si="1"/>
        <v>0.68287369741974924</v>
      </c>
      <c r="F13" s="1109">
        <v>9780743</v>
      </c>
      <c r="G13" s="23"/>
      <c r="H13" s="127"/>
      <c r="I13" s="127"/>
      <c r="J13" s="23"/>
      <c r="K13" s="23"/>
    </row>
    <row r="14" spans="1:13" s="77" customFormat="1" ht="18.75">
      <c r="A14" s="395" t="s">
        <v>582</v>
      </c>
      <c r="B14" s="1105">
        <f>+'III.3.2. Afil anual SFS RS '!D13</f>
        <v>3015646</v>
      </c>
      <c r="C14" s="1106">
        <v>0.40799999999999997</v>
      </c>
      <c r="D14" s="1107">
        <f t="shared" si="0"/>
        <v>4031246.0399999996</v>
      </c>
      <c r="E14" s="1108">
        <f t="shared" si="1"/>
        <v>0.74806795965249506</v>
      </c>
      <c r="F14" s="1109">
        <v>9880505</v>
      </c>
      <c r="G14" s="23"/>
      <c r="H14" s="127"/>
      <c r="I14" s="23"/>
      <c r="J14" s="23"/>
      <c r="K14" s="23"/>
    </row>
    <row r="15" spans="1:13" ht="18.75">
      <c r="A15" s="396" t="s">
        <v>947</v>
      </c>
      <c r="B15" s="1639">
        <f>+'III.3.2. Afil anual SFS RS '!D14</f>
        <v>3043353</v>
      </c>
      <c r="C15" s="1110">
        <v>0.41799999999999998</v>
      </c>
      <c r="D15" s="1111">
        <f>F15*C15</f>
        <v>4150896.3319999999</v>
      </c>
      <c r="E15" s="1112">
        <f t="shared" si="1"/>
        <v>0.73317971748372734</v>
      </c>
      <c r="F15" s="1113">
        <f>+III.1.3.Afil.SFSPob.Nac.!C16</f>
        <v>9930374</v>
      </c>
      <c r="G15" s="23"/>
      <c r="H15" s="127"/>
      <c r="I15" s="23"/>
      <c r="J15" s="23"/>
      <c r="K15" s="23"/>
    </row>
    <row r="16" spans="1:13" ht="23.25" customHeight="1">
      <c r="A16" s="1083" t="s">
        <v>774</v>
      </c>
      <c r="B16" s="23"/>
      <c r="C16" s="23"/>
      <c r="D16" s="34"/>
      <c r="E16" s="23"/>
      <c r="F16" s="23"/>
      <c r="G16" s="23"/>
      <c r="H16" s="23"/>
      <c r="I16" s="23"/>
      <c r="J16" s="23"/>
      <c r="K16" s="23"/>
    </row>
    <row r="17" spans="1:12" ht="23.25">
      <c r="A17" s="23"/>
      <c r="B17" s="23"/>
      <c r="C17" s="23"/>
      <c r="D17" s="34"/>
      <c r="E17" s="23"/>
      <c r="F17" s="23"/>
      <c r="G17" s="23"/>
      <c r="H17" s="23"/>
      <c r="I17" s="23"/>
      <c r="J17" s="23"/>
      <c r="K17" s="23"/>
      <c r="L17" t="s">
        <v>33</v>
      </c>
    </row>
    <row r="18" spans="1:12" ht="23.25">
      <c r="A18" s="23"/>
      <c r="B18" s="23"/>
      <c r="C18" s="23"/>
      <c r="D18" s="34"/>
      <c r="E18" s="23"/>
      <c r="F18" s="23"/>
      <c r="G18" s="23"/>
      <c r="H18" s="23"/>
      <c r="I18" s="23"/>
      <c r="J18" s="23"/>
      <c r="K18" s="23"/>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34" spans="1:1">
      <c r="A34" s="47"/>
    </row>
  </sheetData>
  <mergeCells count="2">
    <mergeCell ref="A1:K1"/>
    <mergeCell ref="A2:K3"/>
  </mergeCells>
  <printOptions horizontalCentered="1" verticalCentered="1"/>
  <pageMargins left="0.4" right="0.4" top="0.25" bottom="0.25" header="0.31496062992126" footer="0.31496062992126"/>
  <pageSetup scale="56"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70" zoomScaleNormal="100" zoomScaleSheetLayoutView="70" workbookViewId="0">
      <selection activeCell="P25" sqref="P25"/>
    </sheetView>
  </sheetViews>
  <sheetFormatPr baseColWidth="10" defaultColWidth="11.42578125" defaultRowHeight="15"/>
  <cols>
    <col min="1" max="6" width="11.42578125" style="77"/>
    <col min="7" max="7" width="15" style="77" customWidth="1"/>
    <col min="8" max="11" width="11.42578125" style="77"/>
    <col min="12" max="12" width="22.85546875" style="77" customWidth="1"/>
    <col min="13" max="16384" width="11.42578125" style="77"/>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E19:P45"/>
  <sheetViews>
    <sheetView showGridLines="0" view="pageBreakPreview" zoomScale="85" zoomScaleNormal="100" zoomScaleSheetLayoutView="85" workbookViewId="0">
      <selection activeCell="N21" sqref="N21"/>
    </sheetView>
  </sheetViews>
  <sheetFormatPr baseColWidth="10" defaultColWidth="11.42578125" defaultRowHeight="15"/>
  <cols>
    <col min="1" max="6" width="11.42578125" style="77"/>
    <col min="7" max="7" width="15" style="77" customWidth="1"/>
    <col min="8" max="16384" width="11.42578125" style="77"/>
  </cols>
  <sheetData>
    <row r="19" spans="16:16">
      <c r="P19" s="182"/>
    </row>
    <row r="20" spans="16:16">
      <c r="P20" s="182"/>
    </row>
    <row r="21" spans="16:16">
      <c r="P21" s="182"/>
    </row>
    <row r="22" spans="16:16">
      <c r="P22" s="182"/>
    </row>
    <row r="38" spans="5:7">
      <c r="E38" s="182"/>
    </row>
    <row r="39" spans="5:7">
      <c r="E39" s="165"/>
    </row>
    <row r="40" spans="5:7">
      <c r="G40" s="165"/>
    </row>
    <row r="43" spans="5:7">
      <c r="F43" s="182"/>
      <c r="G43" s="182"/>
    </row>
    <row r="44" spans="5:7">
      <c r="G44" s="182"/>
    </row>
    <row r="45" spans="5:7">
      <c r="G45" s="182"/>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
  <sheetViews>
    <sheetView showGridLines="0" view="pageBreakPreview" zoomScale="55" zoomScaleNormal="100" zoomScaleSheetLayoutView="55" workbookViewId="0">
      <selection activeCell="O45" sqref="O45"/>
    </sheetView>
  </sheetViews>
  <sheetFormatPr baseColWidth="10" defaultColWidth="11.42578125" defaultRowHeight="15"/>
  <cols>
    <col min="1" max="6" width="11.42578125" style="77"/>
    <col min="7" max="7" width="13.42578125" style="77" customWidth="1"/>
    <col min="8" max="9" width="24.140625" style="77" customWidth="1"/>
    <col min="10" max="10" width="11.42578125" style="77"/>
    <col min="11" max="11" width="25.140625" style="77" customWidth="1"/>
    <col min="12" max="12" width="30.85546875" style="77" customWidth="1"/>
    <col min="13" max="13" width="27.85546875" style="77" customWidth="1"/>
    <col min="14" max="16384" width="11.42578125" style="7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Q43"/>
  <sheetViews>
    <sheetView showGridLines="0" view="pageBreakPreview" zoomScale="70" zoomScaleNormal="100" zoomScaleSheetLayoutView="70" workbookViewId="0">
      <selection activeCell="H7" sqref="H7"/>
    </sheetView>
  </sheetViews>
  <sheetFormatPr baseColWidth="10" defaultColWidth="11.42578125" defaultRowHeight="15"/>
  <cols>
    <col min="1" max="1" width="12.85546875" style="39" bestFit="1" customWidth="1"/>
    <col min="2" max="2" width="14.140625" style="197" customWidth="1"/>
    <col min="3" max="3" width="16.140625" style="197" customWidth="1"/>
    <col min="4" max="4" width="18.28515625" style="197" customWidth="1"/>
    <col min="5" max="5" width="15.5703125" style="197" customWidth="1"/>
    <col min="6" max="10" width="15.5703125" style="39" customWidth="1"/>
    <col min="11" max="11" width="17.5703125" style="39" customWidth="1"/>
    <col min="12" max="13" width="13.5703125" style="39" customWidth="1"/>
    <col min="14" max="14" width="11.42578125" style="39" customWidth="1"/>
    <col min="15" max="16384" width="11.42578125" style="39"/>
  </cols>
  <sheetData>
    <row r="1" spans="1:17" s="77" customFormat="1" ht="66.75" customHeight="1">
      <c r="A1" s="1873"/>
      <c r="B1" s="1873"/>
      <c r="C1" s="1873"/>
      <c r="D1" s="1873"/>
      <c r="E1" s="1873"/>
      <c r="F1" s="1873"/>
      <c r="G1" s="1873"/>
      <c r="H1" s="1873"/>
      <c r="I1" s="1873"/>
      <c r="J1" s="1873"/>
      <c r="K1" s="1873"/>
    </row>
    <row r="2" spans="1:17" s="77" customFormat="1" ht="6.75" customHeight="1">
      <c r="A2" s="161"/>
      <c r="B2" s="1681"/>
      <c r="C2" s="1681"/>
      <c r="D2" s="1681"/>
      <c r="E2" s="1681"/>
      <c r="F2" s="161"/>
      <c r="G2" s="161"/>
      <c r="H2" s="161"/>
      <c r="I2" s="161"/>
      <c r="J2" s="161"/>
    </row>
    <row r="3" spans="1:17" s="142" customFormat="1" ht="42" customHeight="1">
      <c r="A3" s="1695" t="s">
        <v>47</v>
      </c>
      <c r="B3" s="1696" t="s">
        <v>542</v>
      </c>
      <c r="C3" s="1696" t="s">
        <v>539</v>
      </c>
      <c r="D3" s="1696" t="s">
        <v>540</v>
      </c>
      <c r="E3" s="1697" t="s">
        <v>541</v>
      </c>
      <c r="F3" s="68"/>
      <c r="G3" s="68"/>
      <c r="H3" s="68"/>
      <c r="I3" s="68"/>
      <c r="J3" s="68"/>
      <c r="K3" s="68"/>
      <c r="L3" s="68"/>
      <c r="M3" s="68"/>
      <c r="N3" s="1698"/>
      <c r="O3" s="1698"/>
      <c r="P3" s="1699"/>
      <c r="Q3" s="1699"/>
    </row>
    <row r="4" spans="1:17" s="142" customFormat="1" ht="15.75">
      <c r="A4" s="1700" t="s">
        <v>32</v>
      </c>
      <c r="B4" s="1701">
        <f t="shared" ref="B4:B10" si="0">+C4+D4+E4</f>
        <v>21982</v>
      </c>
      <c r="C4" s="1702">
        <v>12775</v>
      </c>
      <c r="D4" s="1702">
        <v>7188</v>
      </c>
      <c r="E4" s="1703">
        <v>2019</v>
      </c>
      <c r="F4" s="68"/>
      <c r="G4" s="941"/>
      <c r="H4" s="68"/>
      <c r="I4" s="68"/>
      <c r="J4" s="68"/>
      <c r="K4" s="68"/>
      <c r="L4" s="68"/>
      <c r="M4" s="68"/>
      <c r="N4" s="68"/>
      <c r="O4" s="68"/>
      <c r="P4" s="1699"/>
      <c r="Q4" s="1699"/>
    </row>
    <row r="5" spans="1:17" s="142" customFormat="1" ht="15.75">
      <c r="A5" s="1700" t="s">
        <v>195</v>
      </c>
      <c r="B5" s="1701">
        <f t="shared" si="0"/>
        <v>27354</v>
      </c>
      <c r="C5" s="1702">
        <v>14927</v>
      </c>
      <c r="D5" s="1702">
        <v>9946</v>
      </c>
      <c r="E5" s="1703">
        <v>2481</v>
      </c>
      <c r="F5" s="1698"/>
      <c r="G5" s="941"/>
      <c r="H5" s="1698"/>
      <c r="I5" s="1698"/>
      <c r="J5" s="1698"/>
      <c r="K5" s="1698"/>
      <c r="L5" s="1698"/>
      <c r="M5" s="1698"/>
      <c r="N5" s="1698"/>
      <c r="O5" s="1699"/>
      <c r="P5" s="1699"/>
    </row>
    <row r="6" spans="1:17" s="142" customFormat="1" ht="15.75">
      <c r="A6" s="1700" t="s">
        <v>241</v>
      </c>
      <c r="B6" s="1701">
        <f t="shared" si="0"/>
        <v>29726</v>
      </c>
      <c r="C6" s="1702">
        <v>16317</v>
      </c>
      <c r="D6" s="1702">
        <v>10524</v>
      </c>
      <c r="E6" s="1703">
        <v>2885</v>
      </c>
      <c r="F6" s="1698"/>
      <c r="G6" s="941"/>
      <c r="H6" s="1698"/>
      <c r="I6" s="1698"/>
      <c r="J6" s="1698"/>
      <c r="K6" s="1698"/>
      <c r="L6" s="1698"/>
      <c r="M6" s="1698"/>
      <c r="N6" s="1698"/>
      <c r="O6" s="1699"/>
      <c r="P6" s="1699"/>
    </row>
    <row r="7" spans="1:17" s="142" customFormat="1" ht="15.75">
      <c r="A7" s="1704" t="s">
        <v>484</v>
      </c>
      <c r="B7" s="1701">
        <f t="shared" si="0"/>
        <v>30703</v>
      </c>
      <c r="C7" s="1702">
        <v>16189</v>
      </c>
      <c r="D7" s="1702">
        <v>10515</v>
      </c>
      <c r="E7" s="1703">
        <v>3999</v>
      </c>
      <c r="F7" s="68"/>
      <c r="G7" s="941"/>
      <c r="H7" s="68"/>
      <c r="I7" s="68"/>
      <c r="J7" s="68"/>
      <c r="K7" s="68"/>
      <c r="L7" s="68"/>
      <c r="M7" s="68"/>
      <c r="N7" s="68"/>
      <c r="O7" s="1699"/>
      <c r="P7" s="1699"/>
    </row>
    <row r="8" spans="1:17" s="142" customFormat="1" ht="15.75">
      <c r="A8" s="1704" t="s">
        <v>565</v>
      </c>
      <c r="B8" s="1701">
        <f t="shared" si="0"/>
        <v>27273</v>
      </c>
      <c r="C8" s="1702">
        <v>13249</v>
      </c>
      <c r="D8" s="1702">
        <v>10016</v>
      </c>
      <c r="E8" s="1703">
        <v>4008</v>
      </c>
      <c r="F8" s="68"/>
      <c r="G8" s="941"/>
      <c r="H8" s="68"/>
      <c r="I8" s="68"/>
      <c r="J8" s="68"/>
      <c r="K8" s="68"/>
      <c r="L8" s="68"/>
      <c r="M8" s="68"/>
      <c r="N8" s="941"/>
      <c r="Q8" s="941"/>
    </row>
    <row r="9" spans="1:17" s="142" customFormat="1" ht="15.75">
      <c r="A9" s="1704" t="s">
        <v>582</v>
      </c>
      <c r="B9" s="1701">
        <f t="shared" si="0"/>
        <v>30370</v>
      </c>
      <c r="C9" s="1702">
        <v>15039</v>
      </c>
      <c r="D9" s="1702">
        <v>10509</v>
      </c>
      <c r="E9" s="1703">
        <v>4822</v>
      </c>
      <c r="F9" s="68"/>
      <c r="G9" s="941"/>
      <c r="H9" s="68"/>
      <c r="I9" s="68"/>
      <c r="J9" s="68"/>
      <c r="K9" s="68"/>
      <c r="L9" s="68"/>
      <c r="M9" s="68"/>
      <c r="N9" s="941"/>
      <c r="O9" s="1699"/>
      <c r="P9" s="1699"/>
    </row>
    <row r="10" spans="1:17" s="142" customFormat="1" ht="15.75">
      <c r="A10" s="1705" t="s">
        <v>947</v>
      </c>
      <c r="B10" s="1706">
        <f t="shared" si="0"/>
        <v>30582</v>
      </c>
      <c r="C10" s="1707">
        <v>15129</v>
      </c>
      <c r="D10" s="1707">
        <v>10529</v>
      </c>
      <c r="E10" s="1708">
        <v>4924</v>
      </c>
      <c r="F10" s="68"/>
      <c r="G10" s="941"/>
      <c r="H10" s="68"/>
      <c r="I10" s="68"/>
      <c r="J10" s="68"/>
      <c r="K10" s="68"/>
      <c r="L10" s="68"/>
      <c r="M10" s="68"/>
      <c r="N10" s="941"/>
      <c r="O10" s="1699"/>
      <c r="P10" s="1699"/>
    </row>
    <row r="11" spans="1:17" s="142" customFormat="1" ht="15.75">
      <c r="B11" s="1709"/>
      <c r="C11" s="1710"/>
      <c r="D11" s="1710"/>
      <c r="E11" s="1710"/>
      <c r="F11" s="68"/>
      <c r="G11" s="68"/>
      <c r="H11" s="68"/>
      <c r="I11" s="68"/>
      <c r="J11" s="68"/>
      <c r="K11" s="68"/>
      <c r="L11" s="68"/>
      <c r="M11" s="68"/>
      <c r="N11" s="941"/>
      <c r="O11" s="1699"/>
      <c r="P11" s="1699"/>
    </row>
    <row r="12" spans="1:17" s="77" customFormat="1" ht="15.75">
      <c r="B12" s="1682"/>
      <c r="C12" s="1711"/>
      <c r="D12" s="1711"/>
      <c r="E12" s="1711"/>
      <c r="F12" s="68"/>
      <c r="G12" s="68"/>
      <c r="H12" s="68"/>
      <c r="I12" s="68"/>
      <c r="J12" s="68"/>
      <c r="K12" s="68"/>
      <c r="L12" s="68"/>
      <c r="M12" s="68"/>
      <c r="N12" s="941"/>
      <c r="O12" s="68"/>
      <c r="P12" s="68"/>
      <c r="Q12" s="94"/>
    </row>
    <row r="13" spans="1:17" s="77" customFormat="1" ht="15.75">
      <c r="B13" s="1682"/>
      <c r="C13" s="1711"/>
      <c r="D13" s="1711"/>
      <c r="E13" s="1711"/>
      <c r="F13" s="68"/>
      <c r="G13" s="68"/>
      <c r="H13" s="68"/>
      <c r="I13" s="68"/>
      <c r="J13" s="68"/>
      <c r="K13" s="68"/>
      <c r="L13" s="68"/>
      <c r="M13" s="68"/>
      <c r="N13" s="941"/>
      <c r="O13" s="68"/>
      <c r="P13" s="68"/>
      <c r="Q13" s="94"/>
    </row>
    <row r="14" spans="1:17" s="77" customFormat="1" ht="15.75">
      <c r="B14" s="1682"/>
      <c r="C14" s="1711"/>
      <c r="D14" s="1711"/>
      <c r="E14" s="1711"/>
      <c r="F14" s="68"/>
      <c r="G14" s="68"/>
      <c r="H14" s="68"/>
      <c r="I14" s="68"/>
      <c r="J14" s="68"/>
      <c r="K14" s="68"/>
      <c r="L14" s="68"/>
      <c r="M14" s="68"/>
      <c r="N14" s="941"/>
      <c r="O14" s="68"/>
      <c r="P14" s="68"/>
      <c r="Q14" s="94"/>
    </row>
    <row r="15" spans="1:17" s="77" customFormat="1" ht="15.75">
      <c r="B15" s="1682"/>
      <c r="C15" s="1712"/>
      <c r="D15" s="1712"/>
      <c r="E15" s="1712"/>
      <c r="F15" s="12"/>
      <c r="G15" s="12"/>
      <c r="H15" s="12"/>
      <c r="I15" s="12"/>
      <c r="J15" s="12"/>
      <c r="K15" s="12"/>
      <c r="L15" s="12"/>
      <c r="M15" s="12"/>
      <c r="N15" s="1288"/>
      <c r="O15" s="12"/>
      <c r="P15" s="12"/>
    </row>
    <row r="16" spans="1:17" s="77" customFormat="1" ht="15.75">
      <c r="B16" s="1682"/>
      <c r="C16" s="1712"/>
      <c r="D16" s="1712"/>
      <c r="E16" s="1712"/>
      <c r="F16" s="12"/>
      <c r="G16" s="12"/>
      <c r="H16" s="12"/>
      <c r="I16" s="12"/>
      <c r="J16" s="12"/>
      <c r="K16" s="12"/>
      <c r="L16" s="12"/>
      <c r="M16" s="12"/>
      <c r="N16" s="1288"/>
      <c r="O16" s="12"/>
      <c r="P16" s="12"/>
    </row>
    <row r="17" spans="2:16" s="77" customFormat="1" ht="15.75">
      <c r="B17" s="1682"/>
      <c r="C17" s="1712"/>
      <c r="D17" s="1712"/>
      <c r="E17" s="1712"/>
      <c r="F17" s="12"/>
      <c r="G17" s="12"/>
      <c r="H17" s="12"/>
      <c r="I17" s="12"/>
      <c r="J17" s="12"/>
      <c r="K17" s="12"/>
      <c r="L17" s="12"/>
      <c r="M17" s="12"/>
      <c r="N17" s="12"/>
      <c r="O17" s="12"/>
      <c r="P17" s="12"/>
    </row>
    <row r="18" spans="2:16" s="77" customFormat="1" ht="15.75">
      <c r="B18" s="1682"/>
      <c r="C18" s="1712"/>
      <c r="D18" s="1712"/>
      <c r="E18" s="1712"/>
      <c r="F18" s="12"/>
      <c r="G18" s="12"/>
      <c r="H18" s="12"/>
      <c r="I18" s="12"/>
      <c r="J18" s="12"/>
      <c r="K18" s="12"/>
      <c r="L18" s="12"/>
      <c r="M18" s="12"/>
      <c r="N18" s="12"/>
      <c r="O18" s="12"/>
      <c r="P18" s="12"/>
    </row>
    <row r="19" spans="2:16" s="77" customFormat="1" ht="15.75">
      <c r="B19" s="1682"/>
      <c r="C19" s="1712"/>
      <c r="D19" s="1712"/>
      <c r="E19" s="1712"/>
      <c r="F19" s="12"/>
      <c r="G19" s="12"/>
      <c r="H19" s="12"/>
      <c r="I19" s="12"/>
      <c r="J19" s="12"/>
      <c r="K19" s="12"/>
      <c r="L19" s="12"/>
      <c r="M19" s="12"/>
      <c r="N19" s="12"/>
      <c r="O19" s="12"/>
      <c r="P19" s="12"/>
    </row>
    <row r="20" spans="2:16" s="77" customFormat="1" ht="15.75">
      <c r="B20" s="1682"/>
      <c r="C20" s="1712"/>
      <c r="D20" s="1712"/>
      <c r="E20" s="1712"/>
      <c r="F20" s="12"/>
      <c r="G20" s="12"/>
      <c r="H20" s="12"/>
      <c r="I20" s="12"/>
      <c r="J20" s="12"/>
      <c r="K20" s="12"/>
      <c r="L20" s="12"/>
      <c r="M20" s="12"/>
      <c r="N20" s="12"/>
      <c r="O20" s="12"/>
      <c r="P20" s="12"/>
    </row>
    <row r="21" spans="2:16" s="77" customFormat="1" ht="15.75">
      <c r="B21" s="1682"/>
      <c r="C21" s="1712"/>
      <c r="D21" s="1712"/>
      <c r="E21" s="1712"/>
      <c r="F21" s="12"/>
      <c r="G21" s="12"/>
      <c r="H21" s="12"/>
      <c r="I21" s="12"/>
      <c r="J21" s="12"/>
      <c r="K21" s="12"/>
      <c r="L21" s="12"/>
      <c r="M21" s="12"/>
      <c r="N21" s="12"/>
      <c r="O21" s="12"/>
      <c r="P21" s="12"/>
    </row>
    <row r="22" spans="2:16" s="77" customFormat="1">
      <c r="B22" s="1682"/>
      <c r="C22" s="1682"/>
      <c r="D22" s="1682"/>
      <c r="E22" s="1682"/>
    </row>
    <row r="23" spans="2:16" s="77" customFormat="1">
      <c r="B23" s="1682"/>
      <c r="C23" s="1682"/>
      <c r="D23" s="1682"/>
      <c r="E23" s="1682"/>
    </row>
    <row r="24" spans="2:16" s="77" customFormat="1">
      <c r="B24" s="1682"/>
      <c r="C24" s="1682"/>
      <c r="D24" s="1682"/>
      <c r="E24" s="1682"/>
    </row>
    <row r="25" spans="2:16" s="77" customFormat="1">
      <c r="B25" s="1682"/>
      <c r="C25" s="1682"/>
      <c r="D25" s="1682"/>
      <c r="E25" s="1682"/>
    </row>
    <row r="26" spans="2:16" s="77" customFormat="1">
      <c r="B26" s="1682"/>
      <c r="C26" s="1682"/>
      <c r="D26" s="1682"/>
      <c r="E26" s="1682"/>
    </row>
    <row r="27" spans="2:16" s="77" customFormat="1">
      <c r="B27" s="1682"/>
      <c r="C27" s="1682"/>
      <c r="D27" s="1682"/>
      <c r="E27" s="1682"/>
    </row>
    <row r="28" spans="2:16" s="77" customFormat="1">
      <c r="B28" s="1682"/>
      <c r="C28" s="1682"/>
      <c r="D28" s="1682"/>
      <c r="E28" s="1682"/>
    </row>
    <row r="29" spans="2:16" s="77" customFormat="1">
      <c r="B29" s="1682"/>
      <c r="C29" s="1682"/>
      <c r="D29" s="1682"/>
      <c r="E29" s="1682"/>
    </row>
    <row r="30" spans="2:16" s="77" customFormat="1">
      <c r="B30" s="1682"/>
      <c r="C30" s="1682"/>
      <c r="D30" s="1682"/>
      <c r="E30" s="1682"/>
    </row>
    <row r="31" spans="2:16" s="77" customFormat="1">
      <c r="B31" s="1682"/>
      <c r="C31" s="1682"/>
      <c r="D31" s="1682"/>
      <c r="E31" s="1682"/>
    </row>
    <row r="32" spans="2:16" s="77" customFormat="1">
      <c r="B32" s="1682"/>
      <c r="C32" s="1682"/>
      <c r="D32" s="1682"/>
      <c r="E32" s="1682"/>
    </row>
    <row r="33" spans="1:17" s="77" customFormat="1">
      <c r="B33" s="1682"/>
      <c r="C33" s="1682"/>
      <c r="D33" s="1682"/>
      <c r="E33" s="1682"/>
    </row>
    <row r="34" spans="1:17" s="77" customFormat="1">
      <c r="B34" s="1682"/>
      <c r="C34" s="1682"/>
      <c r="D34" s="1682"/>
      <c r="E34" s="1682"/>
    </row>
    <row r="35" spans="1:17" s="77" customFormat="1">
      <c r="B35" s="1682"/>
      <c r="C35" s="1682"/>
      <c r="D35" s="1682"/>
      <c r="E35" s="1682"/>
    </row>
    <row r="36" spans="1:17" s="77" customFormat="1">
      <c r="B36" s="1682"/>
      <c r="C36" s="1682"/>
      <c r="D36" s="1682"/>
      <c r="E36" s="1682"/>
    </row>
    <row r="37" spans="1:17" s="77" customFormat="1">
      <c r="B37" s="1682"/>
      <c r="C37" s="1682"/>
      <c r="D37" s="1682"/>
      <c r="E37" s="1682"/>
    </row>
    <row r="38" spans="1:17" s="77" customFormat="1">
      <c r="B38" s="1682"/>
      <c r="C38" s="1682"/>
      <c r="D38" s="1682"/>
      <c r="E38" s="1682"/>
    </row>
    <row r="39" spans="1:17" s="77" customFormat="1">
      <c r="B39" s="1682"/>
      <c r="C39" s="1682"/>
      <c r="D39" s="1682"/>
      <c r="E39" s="1682"/>
    </row>
    <row r="40" spans="1:17" s="77" customFormat="1">
      <c r="B40" s="1682"/>
      <c r="C40" s="1682"/>
      <c r="D40" s="1682"/>
      <c r="E40" s="1682"/>
    </row>
    <row r="41" spans="1:17" s="77" customFormat="1">
      <c r="B41" s="1682"/>
      <c r="C41" s="1682"/>
      <c r="D41" s="1682"/>
      <c r="E41" s="1682"/>
    </row>
    <row r="43" spans="1:17" ht="29.25" customHeight="1">
      <c r="A43" s="1875"/>
      <c r="B43" s="1875"/>
      <c r="C43" s="1875"/>
      <c r="D43" s="1875"/>
      <c r="E43" s="1875"/>
      <c r="F43" s="1875"/>
      <c r="G43" s="1875"/>
      <c r="H43" s="1875"/>
      <c r="I43" s="1875"/>
      <c r="J43" s="1875"/>
      <c r="K43" s="1875"/>
      <c r="L43" s="1875"/>
      <c r="M43" s="1875"/>
      <c r="N43" s="1875"/>
      <c r="O43" s="1875"/>
      <c r="P43" s="1875"/>
      <c r="Q43" s="1875"/>
    </row>
  </sheetData>
  <mergeCells count="2">
    <mergeCell ref="A1:K1"/>
    <mergeCell ref="A43:Q43"/>
  </mergeCells>
  <printOptions horizontalCentered="1" verticalCentered="1"/>
  <pageMargins left="0.4" right="0.4" top="0.25" bottom="0.25" header="0.31496062992126" footer="0.31496062992126"/>
  <pageSetup scale="7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17"/>
  <sheetViews>
    <sheetView showGridLines="0" view="pageBreakPreview" zoomScale="70" zoomScaleNormal="100" zoomScaleSheetLayoutView="70" workbookViewId="0">
      <selection activeCell="G13" sqref="G13"/>
    </sheetView>
  </sheetViews>
  <sheetFormatPr baseColWidth="10" defaultColWidth="11.42578125" defaultRowHeight="15"/>
  <cols>
    <col min="1" max="1" width="11" style="39" customWidth="1"/>
    <col min="2" max="2" width="13.42578125" style="39" customWidth="1"/>
    <col min="3" max="3" width="21.5703125" style="39" customWidth="1"/>
    <col min="4" max="4" width="23.140625" style="39" customWidth="1"/>
    <col min="5" max="5" width="20.42578125" style="39" customWidth="1"/>
    <col min="6" max="6" width="13.42578125" style="39" customWidth="1"/>
    <col min="7" max="7" width="18.85546875" style="39" customWidth="1"/>
    <col min="8" max="8" width="15.5703125" style="39" customWidth="1"/>
    <col min="9" max="9" width="17" style="39" customWidth="1"/>
    <col min="10" max="10" width="20.140625" style="39" customWidth="1"/>
    <col min="11" max="11" width="18.5703125" style="39" customWidth="1"/>
    <col min="12" max="12" width="18.42578125" style="39" customWidth="1"/>
    <col min="13" max="13" width="27.28515625" style="39" customWidth="1"/>
    <col min="14" max="16384" width="11.42578125" style="39"/>
  </cols>
  <sheetData>
    <row r="1" spans="1:14" s="77" customFormat="1" ht="72" customHeight="1">
      <c r="A1" s="1876"/>
      <c r="B1" s="1876"/>
      <c r="C1" s="1876"/>
      <c r="D1" s="1876"/>
      <c r="E1" s="1876"/>
      <c r="F1" s="1876"/>
      <c r="G1" s="1876"/>
      <c r="H1" s="1876"/>
      <c r="I1" s="1876"/>
      <c r="J1" s="1876"/>
      <c r="K1" s="1876"/>
      <c r="L1" s="1876"/>
    </row>
    <row r="2" spans="1:14" s="77" customFormat="1" ht="14.25" customHeight="1">
      <c r="A2" s="161"/>
      <c r="B2" s="161"/>
      <c r="C2" s="161"/>
      <c r="D2" s="161"/>
      <c r="E2" s="161"/>
      <c r="F2" s="161"/>
      <c r="G2" s="161"/>
      <c r="H2" s="161"/>
    </row>
    <row r="3" spans="1:14" s="77" customFormat="1" ht="42" customHeight="1">
      <c r="A3" s="1364" t="s">
        <v>247</v>
      </c>
      <c r="B3" s="1365" t="s">
        <v>538</v>
      </c>
      <c r="C3" s="1365" t="s">
        <v>539</v>
      </c>
      <c r="D3" s="1365" t="s">
        <v>540</v>
      </c>
      <c r="E3" s="1366" t="s">
        <v>541</v>
      </c>
      <c r="F3"/>
      <c r="G3"/>
      <c r="H3"/>
      <c r="I3" s="68"/>
      <c r="J3" s="68"/>
      <c r="K3" s="39"/>
      <c r="L3" s="39"/>
      <c r="M3" s="94"/>
      <c r="N3" s="94"/>
    </row>
    <row r="4" spans="1:14" ht="18.75">
      <c r="A4" s="1367" t="s">
        <v>567</v>
      </c>
      <c r="B4" s="1531">
        <f t="shared" ref="B4:B11" si="0">+C4+D4+E4</f>
        <v>29825</v>
      </c>
      <c r="C4" s="1532">
        <v>14726</v>
      </c>
      <c r="D4" s="1532">
        <v>10515</v>
      </c>
      <c r="E4" s="1533">
        <v>4584</v>
      </c>
      <c r="F4"/>
      <c r="G4"/>
      <c r="H4"/>
    </row>
    <row r="5" spans="1:14" ht="18.75">
      <c r="A5" s="1367" t="s">
        <v>568</v>
      </c>
      <c r="B5" s="1531">
        <f t="shared" si="0"/>
        <v>29976</v>
      </c>
      <c r="C5" s="1532">
        <v>14810</v>
      </c>
      <c r="D5" s="1532">
        <v>10545</v>
      </c>
      <c r="E5" s="1533">
        <v>4621</v>
      </c>
      <c r="F5"/>
      <c r="G5"/>
      <c r="H5"/>
    </row>
    <row r="6" spans="1:14" ht="18.75">
      <c r="A6" s="1367" t="s">
        <v>569</v>
      </c>
      <c r="B6" s="1531">
        <f t="shared" si="0"/>
        <v>30032</v>
      </c>
      <c r="C6" s="1532">
        <v>14850</v>
      </c>
      <c r="D6" s="1532">
        <v>10543</v>
      </c>
      <c r="E6" s="1533">
        <v>4639</v>
      </c>
      <c r="F6"/>
      <c r="G6"/>
      <c r="H6"/>
      <c r="I6" s="164"/>
      <c r="J6" s="164"/>
      <c r="K6" s="164"/>
      <c r="L6" s="164"/>
      <c r="M6" s="164"/>
      <c r="N6" s="164"/>
    </row>
    <row r="7" spans="1:14" ht="18.75">
      <c r="A7" s="1367" t="s">
        <v>570</v>
      </c>
      <c r="B7" s="1531">
        <f t="shared" si="0"/>
        <v>30250</v>
      </c>
      <c r="C7" s="1532">
        <v>14943</v>
      </c>
      <c r="D7" s="1532">
        <v>10531</v>
      </c>
      <c r="E7" s="1533">
        <v>4776</v>
      </c>
      <c r="F7"/>
      <c r="G7"/>
      <c r="H7"/>
    </row>
    <row r="8" spans="1:14" ht="18.75">
      <c r="A8" s="1367" t="s">
        <v>547</v>
      </c>
      <c r="B8" s="1531">
        <f t="shared" si="0"/>
        <v>30130</v>
      </c>
      <c r="C8" s="1532">
        <v>14868</v>
      </c>
      <c r="D8" s="1532">
        <v>10485</v>
      </c>
      <c r="E8" s="1533">
        <v>4777</v>
      </c>
      <c r="F8" s="77"/>
      <c r="G8" s="77"/>
      <c r="H8" s="77"/>
    </row>
    <row r="9" spans="1:14" ht="18.75">
      <c r="A9" s="1367" t="s">
        <v>588</v>
      </c>
      <c r="B9" s="1531">
        <f t="shared" si="0"/>
        <v>30169</v>
      </c>
      <c r="C9" s="1532">
        <v>14899</v>
      </c>
      <c r="D9" s="1532">
        <v>10482</v>
      </c>
      <c r="E9" s="1533">
        <v>4788</v>
      </c>
      <c r="F9" s="77"/>
      <c r="G9" s="77"/>
      <c r="H9" s="77"/>
    </row>
    <row r="10" spans="1:14" ht="18.75">
      <c r="A10" s="1367" t="s">
        <v>586</v>
      </c>
      <c r="B10" s="1531">
        <f t="shared" si="0"/>
        <v>30370</v>
      </c>
      <c r="C10" s="1532">
        <v>15039</v>
      </c>
      <c r="D10" s="1532">
        <v>10509</v>
      </c>
      <c r="E10" s="1533">
        <v>4822</v>
      </c>
      <c r="F10" s="77"/>
      <c r="G10" s="77"/>
      <c r="H10" s="77"/>
    </row>
    <row r="11" spans="1:14" ht="18.75">
      <c r="A11" s="1367" t="s">
        <v>587</v>
      </c>
      <c r="B11" s="1531">
        <f t="shared" si="0"/>
        <v>30435</v>
      </c>
      <c r="C11" s="1532">
        <v>15082</v>
      </c>
      <c r="D11" s="1532">
        <v>10519</v>
      </c>
      <c r="E11" s="1533">
        <v>4834</v>
      </c>
      <c r="F11"/>
      <c r="G11"/>
      <c r="H11"/>
    </row>
    <row r="12" spans="1:14" ht="18.75">
      <c r="A12" s="1367" t="s">
        <v>761</v>
      </c>
      <c r="B12" s="1531">
        <v>30562</v>
      </c>
      <c r="C12" s="1532">
        <v>15138</v>
      </c>
      <c r="D12" s="1532">
        <v>10576</v>
      </c>
      <c r="E12" s="1533">
        <v>4848</v>
      </c>
      <c r="F12" s="77"/>
      <c r="G12" s="77"/>
      <c r="H12" s="77"/>
    </row>
    <row r="13" spans="1:14" ht="18.75">
      <c r="A13" s="1367" t="s">
        <v>909</v>
      </c>
      <c r="B13" s="1531">
        <v>30440</v>
      </c>
      <c r="C13" s="1532">
        <v>15090</v>
      </c>
      <c r="D13" s="1532">
        <v>10518</v>
      </c>
      <c r="E13" s="1533">
        <v>4832</v>
      </c>
      <c r="F13" s="77"/>
      <c r="G13" s="77"/>
      <c r="H13" s="77"/>
    </row>
    <row r="14" spans="1:14" ht="18.75">
      <c r="A14" s="1367" t="s">
        <v>917</v>
      </c>
      <c r="B14" s="1531">
        <v>30512</v>
      </c>
      <c r="C14" s="1532">
        <v>15135</v>
      </c>
      <c r="D14" s="1532">
        <v>10505</v>
      </c>
      <c r="E14" s="1533">
        <v>4872</v>
      </c>
      <c r="F14" s="77"/>
      <c r="G14" s="77"/>
      <c r="H14" s="77"/>
    </row>
    <row r="15" spans="1:14" ht="18.75">
      <c r="A15" s="1367" t="s">
        <v>931</v>
      </c>
      <c r="B15" s="1531">
        <v>30543</v>
      </c>
      <c r="C15" s="1532">
        <v>15143</v>
      </c>
      <c r="D15" s="1532">
        <v>10492</v>
      </c>
      <c r="E15" s="1533">
        <v>4908</v>
      </c>
      <c r="F15" s="77"/>
      <c r="G15" s="77"/>
      <c r="H15" s="77"/>
    </row>
    <row r="16" spans="1:14" ht="18.75">
      <c r="A16" s="1368" t="s">
        <v>946</v>
      </c>
      <c r="B16" s="1640">
        <f>+C16+D16+E16</f>
        <v>30582</v>
      </c>
      <c r="C16" s="1641">
        <v>15129</v>
      </c>
      <c r="D16" s="1641">
        <v>10529</v>
      </c>
      <c r="E16" s="1642">
        <v>4924</v>
      </c>
      <c r="F16" s="218"/>
      <c r="G16" s="218"/>
      <c r="H16" s="218"/>
    </row>
    <row r="17" spans="1:5" ht="15.75">
      <c r="A17" s="1877" t="s">
        <v>767</v>
      </c>
      <c r="B17" s="1878"/>
      <c r="C17" s="1878"/>
      <c r="D17" s="1878"/>
      <c r="E17" s="1878"/>
    </row>
  </sheetData>
  <mergeCells count="2">
    <mergeCell ref="A1:L1"/>
    <mergeCell ref="A17:E17"/>
  </mergeCells>
  <printOptions horizontalCentered="1" verticalCentered="1"/>
  <pageMargins left="0.4" right="0.4" top="0.25" bottom="0.25" header="0.31496062992126" footer="0.31496062992126"/>
  <pageSetup scale="61"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R17"/>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3.28515625" style="39" customWidth="1"/>
    <col min="2" max="2" width="18" style="39" customWidth="1"/>
    <col min="3" max="3" width="15.85546875" style="39" customWidth="1"/>
    <col min="4" max="4" width="13.140625" style="39" customWidth="1"/>
    <col min="5" max="5" width="11.28515625" style="39" customWidth="1"/>
    <col min="6" max="6" width="13.5703125" style="39" customWidth="1"/>
    <col min="7" max="7" width="13.140625" style="39" customWidth="1"/>
    <col min="8" max="8" width="22.85546875" style="39" customWidth="1"/>
    <col min="9" max="9" width="19.85546875" style="39" customWidth="1"/>
    <col min="10" max="10" width="13.42578125" style="39" customWidth="1"/>
    <col min="11" max="11" width="14" style="39" customWidth="1"/>
    <col min="12" max="12" width="15.57031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7" customFormat="1" ht="72" customHeight="1">
      <c r="A1" s="1876"/>
      <c r="B1" s="1876"/>
      <c r="C1" s="1876"/>
      <c r="D1" s="1876"/>
      <c r="E1" s="1876"/>
      <c r="F1" s="1876"/>
      <c r="G1" s="1876"/>
      <c r="H1" s="1876"/>
      <c r="I1" s="1876"/>
      <c r="J1" s="1876"/>
      <c r="K1" s="1876"/>
      <c r="L1" s="1876"/>
      <c r="M1" s="1876"/>
    </row>
    <row r="2" spans="1:18" s="77" customFormat="1" ht="15" customHeight="1">
      <c r="A2" s="161"/>
      <c r="B2" s="161"/>
      <c r="C2" s="161"/>
      <c r="D2" s="161"/>
      <c r="E2" s="161"/>
      <c r="F2" s="161"/>
      <c r="G2" s="161"/>
      <c r="H2" s="161"/>
      <c r="I2" s="161"/>
      <c r="J2" s="161"/>
      <c r="K2" s="161"/>
      <c r="L2" s="161"/>
    </row>
    <row r="3" spans="1:18" s="77" customFormat="1" ht="46.5" customHeight="1">
      <c r="A3" s="1364" t="s">
        <v>247</v>
      </c>
      <c r="B3" s="1365" t="s">
        <v>923</v>
      </c>
      <c r="C3" s="1592" t="s">
        <v>589</v>
      </c>
      <c r="D3"/>
      <c r="E3"/>
      <c r="F3"/>
      <c r="G3"/>
      <c r="H3"/>
      <c r="I3"/>
      <c r="L3"/>
      <c r="M3" s="68"/>
      <c r="N3" s="68"/>
      <c r="O3" s="39"/>
      <c r="P3" s="39"/>
      <c r="Q3" s="94"/>
      <c r="R3" s="94"/>
    </row>
    <row r="4" spans="1:18" ht="16.5" customHeight="1">
      <c r="A4" s="1367" t="s">
        <v>567</v>
      </c>
      <c r="B4" s="1590">
        <v>29898</v>
      </c>
      <c r="C4" s="1593"/>
      <c r="D4"/>
      <c r="E4"/>
      <c r="F4"/>
      <c r="G4"/>
      <c r="H4"/>
      <c r="I4"/>
      <c r="L4"/>
    </row>
    <row r="5" spans="1:18" ht="16.5" customHeight="1">
      <c r="A5" s="1367" t="s">
        <v>568</v>
      </c>
      <c r="B5" s="1590">
        <v>30030</v>
      </c>
      <c r="C5" s="1593">
        <f t="shared" ref="C5:C12" si="0">B5/B4-1</f>
        <v>4.4150110375276164E-3</v>
      </c>
      <c r="D5"/>
      <c r="E5"/>
      <c r="F5"/>
      <c r="G5"/>
      <c r="H5"/>
      <c r="I5"/>
      <c r="L5"/>
    </row>
    <row r="6" spans="1:18" ht="16.5" customHeight="1">
      <c r="A6" s="1367" t="s">
        <v>569</v>
      </c>
      <c r="B6" s="1590">
        <v>30087</v>
      </c>
      <c r="C6" s="1593">
        <f t="shared" si="0"/>
        <v>1.8981018981019115E-3</v>
      </c>
      <c r="D6"/>
      <c r="E6"/>
      <c r="F6"/>
      <c r="G6"/>
      <c r="H6"/>
      <c r="I6"/>
      <c r="L6"/>
      <c r="M6" s="164"/>
      <c r="N6" s="164"/>
      <c r="O6" s="164"/>
      <c r="P6" s="164"/>
      <c r="Q6" s="164"/>
      <c r="R6" s="164"/>
    </row>
    <row r="7" spans="1:18" ht="16.5" customHeight="1">
      <c r="A7" s="1367" t="s">
        <v>570</v>
      </c>
      <c r="B7" s="1590">
        <v>30316</v>
      </c>
      <c r="C7" s="1593">
        <f t="shared" si="0"/>
        <v>7.6112606773690583E-3</v>
      </c>
      <c r="D7"/>
      <c r="E7"/>
      <c r="F7"/>
      <c r="G7"/>
      <c r="H7"/>
      <c r="I7"/>
      <c r="L7"/>
    </row>
    <row r="8" spans="1:18" ht="16.5" customHeight="1">
      <c r="A8" s="1367" t="s">
        <v>547</v>
      </c>
      <c r="B8" s="1590">
        <v>30389</v>
      </c>
      <c r="C8" s="1593">
        <f t="shared" si="0"/>
        <v>2.4079693891014831E-3</v>
      </c>
      <c r="D8" s="77"/>
      <c r="E8" s="77"/>
      <c r="F8" s="77"/>
      <c r="G8" s="77"/>
      <c r="H8" s="77"/>
      <c r="I8" s="77"/>
      <c r="L8" s="77"/>
    </row>
    <row r="9" spans="1:18" ht="16.5" customHeight="1">
      <c r="A9" s="1367" t="s">
        <v>588</v>
      </c>
      <c r="B9" s="1590">
        <v>30237</v>
      </c>
      <c r="C9" s="1593">
        <f t="shared" si="0"/>
        <v>-5.001809865411877E-3</v>
      </c>
      <c r="D9" s="77"/>
      <c r="E9" s="77"/>
      <c r="F9" s="77"/>
      <c r="G9" s="77"/>
      <c r="H9" s="77"/>
      <c r="I9" s="77"/>
      <c r="L9" s="77"/>
    </row>
    <row r="10" spans="1:18" ht="16.5" customHeight="1">
      <c r="A10" s="1367" t="s">
        <v>586</v>
      </c>
      <c r="B10" s="1590">
        <v>30470</v>
      </c>
      <c r="C10" s="1593">
        <f t="shared" si="0"/>
        <v>7.7057909184112816E-3</v>
      </c>
      <c r="D10" s="77"/>
      <c r="E10" s="77"/>
      <c r="F10" s="77"/>
      <c r="G10" s="77"/>
      <c r="H10" s="77"/>
      <c r="I10" s="77"/>
      <c r="L10" s="77"/>
    </row>
    <row r="11" spans="1:18" ht="16.5" customHeight="1">
      <c r="A11" s="1367" t="s">
        <v>587</v>
      </c>
      <c r="B11" s="1590">
        <v>30485</v>
      </c>
      <c r="C11" s="1593">
        <f t="shared" si="0"/>
        <v>4.9228749589769194E-4</v>
      </c>
      <c r="D11"/>
      <c r="E11"/>
      <c r="F11"/>
      <c r="G11"/>
      <c r="H11"/>
      <c r="I11"/>
      <c r="L11"/>
    </row>
    <row r="12" spans="1:18" ht="16.5" customHeight="1">
      <c r="A12" s="1367" t="s">
        <v>761</v>
      </c>
      <c r="B12" s="1590">
        <v>30622</v>
      </c>
      <c r="C12" s="1593">
        <f t="shared" si="0"/>
        <v>4.4940134492372774E-3</v>
      </c>
      <c r="D12" s="77"/>
      <c r="E12" s="77"/>
      <c r="F12" s="77"/>
      <c r="G12" s="77"/>
      <c r="H12" s="77"/>
      <c r="I12" s="77"/>
      <c r="L12" s="77"/>
    </row>
    <row r="13" spans="1:18" ht="16.5" customHeight="1">
      <c r="A13" s="1367" t="s">
        <v>909</v>
      </c>
      <c r="B13" s="1590">
        <v>30655</v>
      </c>
      <c r="C13" s="1593">
        <f>B13/B12-1</f>
        <v>1.0776565867676169E-3</v>
      </c>
      <c r="D13" s="77"/>
      <c r="E13" s="77"/>
      <c r="F13" s="77"/>
      <c r="G13" s="77"/>
      <c r="H13" s="77"/>
      <c r="I13" s="77"/>
      <c r="L13" s="77"/>
    </row>
    <row r="14" spans="1:18" ht="16.5" customHeight="1">
      <c r="A14" s="1367" t="s">
        <v>917</v>
      </c>
      <c r="B14" s="1590">
        <v>30950</v>
      </c>
      <c r="C14" s="1593">
        <f>B14/B13-1</f>
        <v>9.6232262273689972E-3</v>
      </c>
      <c r="D14" s="77"/>
      <c r="E14" s="77"/>
      <c r="F14" s="77"/>
      <c r="G14" s="77"/>
      <c r="H14" s="77"/>
      <c r="I14" s="77"/>
      <c r="L14" s="77"/>
    </row>
    <row r="15" spans="1:18" ht="16.5" customHeight="1">
      <c r="A15" s="1367" t="s">
        <v>931</v>
      </c>
      <c r="B15" s="1590">
        <v>30599</v>
      </c>
      <c r="C15" s="1593">
        <v>-1.1340872374798083E-2</v>
      </c>
      <c r="D15" s="77"/>
      <c r="E15" s="77"/>
      <c r="F15" s="77"/>
      <c r="G15" s="77"/>
      <c r="H15" s="77"/>
      <c r="I15" s="77"/>
      <c r="L15" s="77"/>
    </row>
    <row r="16" spans="1:18" ht="16.5" customHeight="1">
      <c r="A16" s="1368" t="s">
        <v>946</v>
      </c>
      <c r="B16" s="1591">
        <v>30733</v>
      </c>
      <c r="C16" s="1594">
        <f>B16/B14-1</f>
        <v>-7.0113085621971161E-3</v>
      </c>
    </row>
    <row r="17" spans="1:4" ht="15.75">
      <c r="A17" s="1879" t="s">
        <v>768</v>
      </c>
      <c r="B17" s="1879"/>
      <c r="C17" s="1879"/>
      <c r="D17" s="1879"/>
    </row>
  </sheetData>
  <mergeCells count="2">
    <mergeCell ref="A1:M1"/>
    <mergeCell ref="A17:D17"/>
  </mergeCells>
  <printOptions horizontalCentered="1" verticalCentered="1"/>
  <pageMargins left="0.4" right="0.4" top="0.25" bottom="0.25" header="0.31496062992126" footer="0.31496062992126"/>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L1:M1"/>
  <sheetViews>
    <sheetView showGridLines="0" view="pageBreakPreview" topLeftCell="B2" zoomScale="70" zoomScaleNormal="100" zoomScaleSheetLayoutView="70" workbookViewId="0">
      <selection activeCell="V53" sqref="V53"/>
    </sheetView>
  </sheetViews>
  <sheetFormatPr baseColWidth="10" defaultColWidth="11.42578125" defaultRowHeight="15"/>
  <cols>
    <col min="1" max="6" width="11.42578125" style="77"/>
    <col min="7" max="7" width="35.7109375" style="77" customWidth="1"/>
    <col min="8" max="10" width="11.42578125" style="77"/>
    <col min="11" max="11" width="11.28515625" style="77" customWidth="1"/>
    <col min="12" max="13" width="11.42578125" style="77" hidden="1" customWidth="1"/>
    <col min="14" max="16384" width="11.42578125" style="77"/>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85" zoomScaleNormal="100" zoomScaleSheetLayoutView="85" workbookViewId="0">
      <selection activeCell="N41" sqref="N41"/>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L5:Q45"/>
  <sheetViews>
    <sheetView showGridLines="0" view="pageBreakPreview" zoomScale="85" zoomScaleNormal="100" zoomScaleSheetLayoutView="85" workbookViewId="0">
      <selection activeCell="O19" sqref="O19"/>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5" width="11.42578125" style="77"/>
    <col min="16" max="16" width="29" style="77" customWidth="1"/>
    <col min="17" max="17" width="24.85546875" style="77" customWidth="1"/>
    <col min="18" max="16384" width="11.42578125" style="77"/>
  </cols>
  <sheetData>
    <row r="5" spans="14:17" ht="15" customHeight="1"/>
    <row r="8" spans="14:17" ht="19.5">
      <c r="N8" s="1076"/>
    </row>
    <row r="13" spans="14:17">
      <c r="P13" s="50"/>
      <c r="Q13" s="50"/>
    </row>
    <row r="14" spans="14:17">
      <c r="P14" s="50"/>
      <c r="Q14" s="50"/>
    </row>
    <row r="15" spans="14:17">
      <c r="P15" s="50"/>
      <c r="Q15" s="944"/>
    </row>
    <row r="19" spans="14:16">
      <c r="N19" s="182"/>
      <c r="O19" s="182"/>
    </row>
    <row r="20" spans="14:16">
      <c r="N20" s="182"/>
      <c r="O20" s="182"/>
    </row>
    <row r="21" spans="14:16">
      <c r="P21" s="152"/>
    </row>
    <row r="23" spans="14:16">
      <c r="O23" s="152"/>
    </row>
    <row r="45" spans="12:12">
      <c r="L45" s="284"/>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34"/>
  <sheetViews>
    <sheetView showGridLines="0" view="pageBreakPreview" topLeftCell="B1" zoomScale="70" zoomScaleNormal="100" zoomScaleSheetLayoutView="70" workbookViewId="0">
      <pane ySplit="1" topLeftCell="A2" activePane="bottomLeft" state="frozen"/>
      <selection pane="bottomLeft" activeCell="K14" sqref="K14"/>
    </sheetView>
  </sheetViews>
  <sheetFormatPr baseColWidth="10" defaultColWidth="11.42578125" defaultRowHeight="15"/>
  <cols>
    <col min="1" max="1" width="12.5703125" style="77" customWidth="1"/>
    <col min="2" max="2" width="15" style="77" customWidth="1"/>
    <col min="3" max="3" width="13.28515625" style="77" customWidth="1"/>
    <col min="4" max="4" width="15.42578125" style="77" customWidth="1"/>
    <col min="5" max="5" width="13.85546875" style="77" customWidth="1"/>
    <col min="6" max="6" width="14.28515625" style="77" customWidth="1"/>
    <col min="7" max="7" width="13.5703125" style="77" customWidth="1"/>
    <col min="8" max="8" width="11.42578125" style="77"/>
    <col min="9" max="9" width="12.5703125" style="77" bestFit="1" customWidth="1"/>
    <col min="10" max="10" width="20.42578125" style="77" customWidth="1"/>
    <col min="11" max="13" width="22" style="77" customWidth="1"/>
    <col min="14" max="14" width="6.85546875" style="77" customWidth="1"/>
    <col min="15" max="15" width="6.7109375" style="77" customWidth="1"/>
    <col min="16" max="16384" width="11.42578125" style="77"/>
  </cols>
  <sheetData>
    <row r="1" spans="1:21" ht="75.75" customHeight="1">
      <c r="A1" s="1880"/>
      <c r="B1" s="1880"/>
      <c r="C1" s="1880"/>
      <c r="D1" s="1880"/>
      <c r="E1" s="1880"/>
      <c r="F1" s="1880"/>
      <c r="G1" s="1880"/>
      <c r="H1" s="1880"/>
      <c r="I1" s="1880"/>
      <c r="J1" s="1880"/>
      <c r="K1" s="1880"/>
      <c r="L1" s="1880"/>
      <c r="M1" s="1880"/>
      <c r="N1" s="1880"/>
    </row>
    <row r="2" spans="1:21" ht="9" customHeight="1">
      <c r="A2" s="1881" t="s">
        <v>638</v>
      </c>
      <c r="B2" s="1881"/>
      <c r="C2" s="1881"/>
      <c r="D2" s="1881"/>
      <c r="E2" s="1881"/>
      <c r="F2" s="1881"/>
      <c r="G2" s="1881"/>
      <c r="H2" s="1881"/>
      <c r="I2" s="1881"/>
      <c r="J2" s="1881"/>
      <c r="K2" s="1881"/>
      <c r="L2" s="1881"/>
      <c r="M2" s="1881"/>
      <c r="N2" s="1881"/>
    </row>
    <row r="3" spans="1:21" ht="37.5" customHeight="1">
      <c r="A3" s="1438" t="s">
        <v>25</v>
      </c>
      <c r="B3" s="1139" t="s">
        <v>46</v>
      </c>
      <c r="C3" s="1139" t="s">
        <v>530</v>
      </c>
      <c r="D3" s="1440" t="s">
        <v>228</v>
      </c>
      <c r="P3" s="165"/>
      <c r="T3" s="179"/>
      <c r="U3" s="179"/>
    </row>
    <row r="4" spans="1:21" ht="15.75">
      <c r="A4" s="1444">
        <v>2003</v>
      </c>
      <c r="B4" s="943">
        <v>576869</v>
      </c>
      <c r="C4" s="943">
        <v>986538</v>
      </c>
      <c r="D4" s="1441">
        <f t="shared" ref="D4:D16" si="0">B4/C4</f>
        <v>0.58474078038555033</v>
      </c>
      <c r="T4" s="179"/>
      <c r="U4" s="179"/>
    </row>
    <row r="5" spans="1:21" ht="15.75">
      <c r="A5" s="337">
        <v>2004</v>
      </c>
      <c r="B5" s="272">
        <v>593286</v>
      </c>
      <c r="C5" s="272">
        <v>1190202</v>
      </c>
      <c r="D5" s="1442">
        <f t="shared" si="0"/>
        <v>0.49847504877323345</v>
      </c>
      <c r="T5" s="179"/>
      <c r="U5" s="179"/>
    </row>
    <row r="6" spans="1:21" ht="15.75">
      <c r="A6" s="337">
        <v>2005</v>
      </c>
      <c r="B6" s="272">
        <v>626615</v>
      </c>
      <c r="C6" s="273">
        <v>1429521</v>
      </c>
      <c r="D6" s="1442">
        <f t="shared" si="0"/>
        <v>0.43833913597631652</v>
      </c>
      <c r="O6" s="165"/>
      <c r="T6" s="179"/>
      <c r="U6" s="179"/>
    </row>
    <row r="7" spans="1:21" ht="15.75">
      <c r="A7" s="337">
        <v>2006</v>
      </c>
      <c r="B7" s="272">
        <v>808496</v>
      </c>
      <c r="C7" s="272">
        <v>1588621</v>
      </c>
      <c r="D7" s="1442">
        <f t="shared" si="0"/>
        <v>0.50892944257944472</v>
      </c>
      <c r="P7" s="271"/>
      <c r="T7" s="179"/>
      <c r="U7" s="179"/>
    </row>
    <row r="8" spans="1:21" ht="15.75">
      <c r="A8" s="337">
        <v>2007</v>
      </c>
      <c r="B8" s="272">
        <v>913203</v>
      </c>
      <c r="C8" s="272">
        <v>1797027</v>
      </c>
      <c r="D8" s="1442">
        <f t="shared" si="0"/>
        <v>0.5081743346093297</v>
      </c>
      <c r="T8" s="179"/>
      <c r="U8" s="179"/>
    </row>
    <row r="9" spans="1:21" ht="15.75">
      <c r="A9" s="337">
        <v>2008</v>
      </c>
      <c r="B9" s="272">
        <v>929743</v>
      </c>
      <c r="C9" s="272">
        <v>1983720</v>
      </c>
      <c r="D9" s="1442">
        <f t="shared" si="0"/>
        <v>0.46868660899723752</v>
      </c>
      <c r="P9" s="165"/>
      <c r="T9" s="179"/>
      <c r="U9" s="179"/>
    </row>
    <row r="10" spans="1:21" ht="15.75">
      <c r="A10" s="337">
        <v>2009</v>
      </c>
      <c r="B10" s="272">
        <v>1118293</v>
      </c>
      <c r="C10" s="272">
        <v>2193890</v>
      </c>
      <c r="D10" s="1442">
        <f t="shared" si="0"/>
        <v>0.50973066106322562</v>
      </c>
      <c r="O10" s="182"/>
      <c r="P10" s="165"/>
      <c r="T10" s="179"/>
      <c r="U10" s="179"/>
    </row>
    <row r="11" spans="1:21" ht="15.75">
      <c r="A11" s="337">
        <v>2010</v>
      </c>
      <c r="B11" s="272">
        <v>1189601</v>
      </c>
      <c r="C11" s="272">
        <v>2374783</v>
      </c>
      <c r="D11" s="1442">
        <f t="shared" si="0"/>
        <v>0.50093040079872564</v>
      </c>
      <c r="P11" s="165"/>
      <c r="Q11" s="18"/>
      <c r="T11" s="179"/>
      <c r="U11" s="179"/>
    </row>
    <row r="12" spans="1:21" ht="15.75">
      <c r="A12" s="337">
        <v>2011</v>
      </c>
      <c r="B12" s="272">
        <v>1242780</v>
      </c>
      <c r="C12" s="272">
        <v>2552974</v>
      </c>
      <c r="D12" s="1442">
        <f t="shared" si="0"/>
        <v>0.4867969669883046</v>
      </c>
      <c r="P12" s="165"/>
      <c r="Q12" s="18"/>
      <c r="T12" s="179"/>
      <c r="U12" s="179"/>
    </row>
    <row r="13" spans="1:21" ht="15.75">
      <c r="A13" s="337">
        <v>2012</v>
      </c>
      <c r="B13" s="272">
        <v>1291137</v>
      </c>
      <c r="C13" s="272">
        <v>2714449</v>
      </c>
      <c r="D13" s="1442">
        <f t="shared" si="0"/>
        <v>0.47565343832210516</v>
      </c>
      <c r="O13" s="220"/>
      <c r="P13" s="165"/>
      <c r="Q13" s="18"/>
      <c r="T13" s="179"/>
      <c r="U13" s="179"/>
    </row>
    <row r="14" spans="1:21" ht="15.75">
      <c r="A14" s="337">
        <v>2013</v>
      </c>
      <c r="B14" s="272">
        <v>1376966</v>
      </c>
      <c r="C14" s="272">
        <v>2881130</v>
      </c>
      <c r="D14" s="1442">
        <f t="shared" si="0"/>
        <v>0.47792567499557465</v>
      </c>
      <c r="P14" s="165"/>
      <c r="Q14" s="18"/>
      <c r="T14" s="179"/>
      <c r="U14" s="179"/>
    </row>
    <row r="15" spans="1:21" ht="15.75">
      <c r="A15" s="337">
        <v>2014</v>
      </c>
      <c r="B15" s="272">
        <v>1508392</v>
      </c>
      <c r="C15" s="272">
        <v>3069900</v>
      </c>
      <c r="D15" s="1442">
        <f t="shared" si="0"/>
        <v>0.49134890387309033</v>
      </c>
      <c r="G15" s="284"/>
      <c r="P15" s="165"/>
      <c r="Q15" s="18"/>
      <c r="T15" s="179"/>
      <c r="U15" s="179"/>
    </row>
    <row r="16" spans="1:21" ht="15.75">
      <c r="A16" s="1445" t="s">
        <v>947</v>
      </c>
      <c r="B16" s="942">
        <v>1553760</v>
      </c>
      <c r="C16" s="942">
        <v>3164622</v>
      </c>
      <c r="D16" s="1443">
        <f t="shared" si="0"/>
        <v>0.4909780694187173</v>
      </c>
      <c r="E16" s="48"/>
      <c r="F16" s="1754"/>
      <c r="G16" s="14" t="s">
        <v>473</v>
      </c>
      <c r="H16" s="14"/>
      <c r="I16" s="1"/>
      <c r="J16" s="15"/>
      <c r="K16" s="1"/>
      <c r="L16" s="1"/>
      <c r="P16" s="165"/>
      <c r="Q16" s="18"/>
      <c r="T16" s="179"/>
      <c r="U16" s="179"/>
    </row>
    <row r="17" spans="2:21" ht="15.75">
      <c r="B17" s="1"/>
      <c r="C17" s="1"/>
      <c r="D17" s="1"/>
      <c r="E17" s="7"/>
      <c r="F17" s="13"/>
      <c r="G17" s="13"/>
      <c r="H17" s="13"/>
      <c r="I17" s="1"/>
      <c r="J17" s="15"/>
      <c r="K17" s="1"/>
      <c r="L17" s="1"/>
      <c r="P17" s="165"/>
      <c r="Q17" s="18"/>
      <c r="T17" s="179"/>
      <c r="U17" s="179"/>
    </row>
    <row r="18" spans="2:21" ht="15.75">
      <c r="B18" s="1"/>
      <c r="C18" s="1"/>
      <c r="D18" s="1"/>
      <c r="E18" s="1"/>
      <c r="F18" s="5"/>
      <c r="G18" s="5"/>
      <c r="H18" s="5"/>
      <c r="I18" s="1"/>
      <c r="J18" s="1"/>
      <c r="K18" s="1"/>
      <c r="L18" s="1"/>
      <c r="P18" s="165"/>
      <c r="Q18" s="18"/>
      <c r="T18" s="179"/>
      <c r="U18" s="179"/>
    </row>
    <row r="19" spans="2:21" ht="15.75">
      <c r="B19" s="1"/>
      <c r="C19" s="1"/>
      <c r="D19" s="1"/>
      <c r="E19" s="1"/>
      <c r="F19" s="1"/>
      <c r="G19" s="1"/>
      <c r="H19" s="1"/>
      <c r="I19" s="1"/>
      <c r="J19" s="1"/>
      <c r="K19" s="1"/>
      <c r="L19" s="1"/>
      <c r="P19" s="165"/>
      <c r="Q19" s="18"/>
      <c r="T19" s="179"/>
      <c r="U19" s="179"/>
    </row>
    <row r="20" spans="2:21">
      <c r="B20" s="1"/>
      <c r="C20" s="1"/>
      <c r="D20" s="1"/>
      <c r="E20" s="1"/>
      <c r="F20" s="1"/>
      <c r="G20" s="1"/>
      <c r="H20" s="1"/>
      <c r="I20" s="1"/>
      <c r="J20" s="1"/>
      <c r="K20" s="1"/>
      <c r="L20" s="1"/>
      <c r="P20" s="165"/>
      <c r="Q20" s="18"/>
    </row>
    <row r="21" spans="2:21">
      <c r="B21" s="1"/>
      <c r="C21" s="1"/>
      <c r="D21" s="1"/>
      <c r="E21" s="1"/>
      <c r="F21" s="1"/>
      <c r="G21" s="1"/>
      <c r="H21" s="1"/>
      <c r="I21" s="1"/>
      <c r="J21" s="1"/>
      <c r="K21" s="1"/>
      <c r="L21" s="1"/>
      <c r="P21" s="165"/>
      <c r="Q21" s="18"/>
    </row>
    <row r="22" spans="2:21">
      <c r="B22" s="1"/>
      <c r="C22" s="1"/>
      <c r="D22" s="1"/>
      <c r="E22" s="1"/>
      <c r="F22" s="1"/>
      <c r="G22" s="1"/>
      <c r="H22" s="1"/>
      <c r="I22" s="1"/>
      <c r="J22" s="1"/>
      <c r="K22" s="1"/>
      <c r="L22" s="1"/>
      <c r="P22" s="165"/>
      <c r="Q22" s="18"/>
    </row>
    <row r="23" spans="2:21">
      <c r="B23" s="1"/>
      <c r="C23" s="1"/>
      <c r="D23" s="1"/>
      <c r="E23" s="1"/>
      <c r="F23" s="1"/>
      <c r="G23" s="1"/>
      <c r="H23" s="1"/>
      <c r="I23" s="1"/>
      <c r="J23" s="1"/>
      <c r="K23" s="1"/>
      <c r="L23" s="1"/>
      <c r="P23" s="1362"/>
      <c r="Q23" s="1796"/>
    </row>
    <row r="24" spans="2:21">
      <c r="B24" s="1"/>
      <c r="C24" s="1"/>
      <c r="D24" s="1"/>
      <c r="E24" s="1"/>
      <c r="F24" s="1"/>
      <c r="G24" s="1"/>
      <c r="H24" s="1"/>
      <c r="I24" s="1"/>
      <c r="J24" s="1"/>
      <c r="K24" s="1"/>
      <c r="L24" s="1"/>
      <c r="M24" s="77" t="s">
        <v>33</v>
      </c>
    </row>
    <row r="25" spans="2:21">
      <c r="B25" s="1"/>
      <c r="C25" s="1"/>
      <c r="D25" s="1"/>
      <c r="E25" s="1"/>
      <c r="F25" s="1"/>
      <c r="G25" s="1"/>
      <c r="H25" s="1"/>
      <c r="I25" s="1"/>
      <c r="J25" s="1"/>
      <c r="K25" s="1"/>
      <c r="L25" s="1"/>
      <c r="P25" s="165"/>
    </row>
    <row r="26" spans="2:21">
      <c r="B26" s="1"/>
      <c r="C26" s="1"/>
      <c r="D26" s="1"/>
      <c r="E26" s="1"/>
      <c r="F26" s="1"/>
      <c r="G26" s="1"/>
      <c r="H26" s="1"/>
      <c r="I26" s="1"/>
      <c r="J26" s="1"/>
      <c r="K26" s="1"/>
      <c r="L26" s="1"/>
    </row>
    <row r="27" spans="2:21">
      <c r="B27" s="1"/>
      <c r="C27" s="1"/>
      <c r="D27" s="1"/>
      <c r="E27" s="1"/>
      <c r="F27" s="1"/>
      <c r="G27" s="1"/>
      <c r="H27" s="1"/>
      <c r="I27" s="1"/>
      <c r="J27" s="1"/>
      <c r="K27" s="1"/>
      <c r="L27" s="1"/>
      <c r="P27" s="165"/>
    </row>
    <row r="28" spans="2:21">
      <c r="B28" s="1"/>
      <c r="C28" s="1"/>
      <c r="D28" s="1"/>
      <c r="E28" s="1"/>
      <c r="F28" s="1"/>
      <c r="G28" s="1"/>
      <c r="H28" s="1"/>
      <c r="I28" s="1"/>
      <c r="J28" s="1"/>
      <c r="K28" s="1"/>
      <c r="L28" s="1"/>
      <c r="P28" s="165"/>
    </row>
    <row r="29" spans="2:21">
      <c r="B29" s="1"/>
      <c r="C29" s="1"/>
      <c r="D29" s="1"/>
      <c r="E29" s="1"/>
      <c r="F29" s="1"/>
      <c r="G29" s="1"/>
      <c r="H29" s="1"/>
      <c r="I29" s="1"/>
      <c r="J29" s="1"/>
      <c r="K29" s="1"/>
      <c r="L29" s="1"/>
      <c r="P29" s="165"/>
    </row>
    <row r="30" spans="2:21">
      <c r="B30" s="1"/>
      <c r="C30" s="1"/>
      <c r="D30" s="1"/>
      <c r="E30" s="1"/>
      <c r="F30" s="1"/>
      <c r="G30" s="1"/>
      <c r="H30" s="1"/>
      <c r="I30" s="1"/>
      <c r="J30" s="1"/>
      <c r="K30" s="1"/>
      <c r="L30" s="1"/>
    </row>
    <row r="31" spans="2:21">
      <c r="B31" s="1"/>
      <c r="C31" s="1"/>
      <c r="D31" s="1"/>
      <c r="E31" s="1"/>
      <c r="F31" s="1"/>
      <c r="G31" s="1"/>
      <c r="H31" s="1"/>
      <c r="I31" s="1"/>
      <c r="J31" s="1"/>
      <c r="K31" s="1"/>
      <c r="L31" s="1"/>
    </row>
    <row r="32" spans="2: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sheetData>
  <mergeCells count="2">
    <mergeCell ref="A1:N1"/>
    <mergeCell ref="A2:N2"/>
  </mergeCells>
  <printOptions horizontalCentered="1" verticalCentered="1"/>
  <pageMargins left="0.4" right="0.4" top="0.25" bottom="0.25" header="0.31496062992126" footer="0.31496062992126"/>
  <pageSetup scale="56"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16"/>
  <sheetViews>
    <sheetView showGridLines="0" view="pageBreakPreview" zoomScale="55" zoomScaleNormal="70" zoomScaleSheetLayoutView="55" workbookViewId="0">
      <selection activeCell="H11" sqref="H11"/>
    </sheetView>
  </sheetViews>
  <sheetFormatPr baseColWidth="10" defaultColWidth="11.42578125" defaultRowHeight="15"/>
  <cols>
    <col min="1" max="1" width="15.85546875" style="77" customWidth="1"/>
    <col min="2" max="2" width="21.28515625" style="77" customWidth="1"/>
    <col min="3" max="3" width="18.140625" style="77" customWidth="1"/>
    <col min="4" max="4" width="20.5703125" style="77" customWidth="1"/>
    <col min="5" max="5" width="11.42578125" style="77"/>
    <col min="6" max="6" width="19.140625" style="77" customWidth="1"/>
    <col min="7" max="7" width="15.7109375" style="77" customWidth="1"/>
    <col min="8" max="9" width="11.42578125" style="77"/>
    <col min="10" max="10" width="17.140625" style="77" customWidth="1"/>
    <col min="11" max="11" width="24" style="77" customWidth="1"/>
    <col min="12" max="12" width="22.28515625" style="77" customWidth="1"/>
    <col min="13" max="13" width="21.28515625" style="77" customWidth="1"/>
    <col min="14" max="14" width="21.5703125" style="77" customWidth="1"/>
    <col min="15" max="16384" width="11.42578125" style="77"/>
  </cols>
  <sheetData>
    <row r="1" spans="1:14" ht="73.5" customHeight="1">
      <c r="A1" s="1882"/>
      <c r="B1" s="1882"/>
      <c r="C1" s="1882"/>
      <c r="D1" s="1882"/>
      <c r="E1" s="1882"/>
      <c r="F1" s="1882"/>
      <c r="G1" s="1882"/>
      <c r="H1" s="1882"/>
      <c r="I1" s="1882"/>
      <c r="J1" s="1882"/>
      <c r="K1" s="1882"/>
      <c r="L1" s="1882"/>
      <c r="M1" s="1882"/>
      <c r="N1" s="1882"/>
    </row>
    <row r="2" spans="1:14" ht="28.5" customHeight="1">
      <c r="A2" s="96"/>
      <c r="B2" s="96"/>
      <c r="C2" s="96"/>
      <c r="D2" s="96"/>
      <c r="E2" s="96"/>
      <c r="F2" s="96"/>
      <c r="G2" s="96"/>
      <c r="H2" s="96"/>
      <c r="I2" s="96"/>
      <c r="J2" s="96"/>
      <c r="K2" s="96"/>
      <c r="L2" s="96"/>
    </row>
    <row r="3" spans="1:14" ht="44.25" customHeight="1">
      <c r="A3" s="1427" t="s">
        <v>48</v>
      </c>
      <c r="B3" s="1428" t="s">
        <v>531</v>
      </c>
      <c r="C3" s="1428" t="s">
        <v>530</v>
      </c>
      <c r="D3" s="1429" t="s">
        <v>228</v>
      </c>
      <c r="F3" s="95"/>
      <c r="G3" s="96"/>
      <c r="H3" s="96"/>
      <c r="I3" s="96"/>
      <c r="J3" s="96"/>
      <c r="K3" s="96"/>
      <c r="L3" s="96"/>
      <c r="M3" s="96"/>
    </row>
    <row r="4" spans="1:14" ht="21">
      <c r="A4" s="1430" t="s">
        <v>567</v>
      </c>
      <c r="B4" s="1431">
        <v>1429452</v>
      </c>
      <c r="C4" s="1432">
        <v>2968885</v>
      </c>
      <c r="D4" s="916">
        <f t="shared" ref="D4:D12" si="0">B4/C4</f>
        <v>0.48147772648654291</v>
      </c>
    </row>
    <row r="5" spans="1:14" ht="21">
      <c r="A5" s="1430" t="s">
        <v>568</v>
      </c>
      <c r="B5" s="1431">
        <v>1449141</v>
      </c>
      <c r="C5" s="1432">
        <v>2983609</v>
      </c>
      <c r="D5" s="916">
        <f t="shared" si="0"/>
        <v>0.48570070676150928</v>
      </c>
    </row>
    <row r="6" spans="1:14" ht="21">
      <c r="A6" s="1430" t="s">
        <v>569</v>
      </c>
      <c r="B6" s="1431">
        <v>1420010</v>
      </c>
      <c r="C6" s="1431">
        <v>3000209</v>
      </c>
      <c r="D6" s="916">
        <f t="shared" si="0"/>
        <v>0.4733036931760421</v>
      </c>
    </row>
    <row r="7" spans="1:14" ht="21">
      <c r="A7" s="1430" t="s">
        <v>570</v>
      </c>
      <c r="B7" s="1431">
        <v>1451258</v>
      </c>
      <c r="C7" s="1431">
        <v>3015120</v>
      </c>
      <c r="D7" s="916">
        <f t="shared" si="0"/>
        <v>0.48132677969699383</v>
      </c>
    </row>
    <row r="8" spans="1:14" ht="21">
      <c r="A8" s="1430" t="s">
        <v>547</v>
      </c>
      <c r="B8" s="1431">
        <v>1472311</v>
      </c>
      <c r="C8" s="1431">
        <v>3032720</v>
      </c>
      <c r="D8" s="916">
        <f t="shared" si="0"/>
        <v>0.48547541480914824</v>
      </c>
    </row>
    <row r="9" spans="1:14" ht="21">
      <c r="A9" s="1430" t="s">
        <v>588</v>
      </c>
      <c r="B9" s="1431">
        <v>1444579</v>
      </c>
      <c r="C9" s="1431">
        <v>3053477</v>
      </c>
      <c r="D9" s="916">
        <f t="shared" si="0"/>
        <v>0.47309313284495019</v>
      </c>
    </row>
    <row r="10" spans="1:14" ht="21">
      <c r="A10" s="1433" t="s">
        <v>586</v>
      </c>
      <c r="B10" s="1431">
        <v>1508392</v>
      </c>
      <c r="C10" s="1431">
        <v>3069900</v>
      </c>
      <c r="D10" s="918">
        <f t="shared" si="0"/>
        <v>0.49134890387309033</v>
      </c>
    </row>
    <row r="11" spans="1:14" ht="21">
      <c r="A11" s="1430" t="s">
        <v>587</v>
      </c>
      <c r="B11" s="1434">
        <v>1423196</v>
      </c>
      <c r="C11" s="1434">
        <v>3082709</v>
      </c>
      <c r="D11" s="1435">
        <f t="shared" si="0"/>
        <v>0.46167056313132376</v>
      </c>
    </row>
    <row r="12" spans="1:14" ht="21">
      <c r="A12" s="1430" t="s">
        <v>761</v>
      </c>
      <c r="B12" s="1434">
        <v>1490792</v>
      </c>
      <c r="C12" s="1434">
        <v>3096282</v>
      </c>
      <c r="D12" s="1435">
        <f t="shared" si="0"/>
        <v>0.48147810826016496</v>
      </c>
    </row>
    <row r="13" spans="1:14" ht="21">
      <c r="A13" s="1430" t="s">
        <v>909</v>
      </c>
      <c r="B13" s="1434">
        <v>1539313</v>
      </c>
      <c r="C13" s="1434">
        <v>3113536</v>
      </c>
      <c r="D13" s="1435">
        <v>0.49439383389175523</v>
      </c>
    </row>
    <row r="14" spans="1:14" ht="21">
      <c r="A14" s="1430" t="s">
        <v>917</v>
      </c>
      <c r="B14" s="1434">
        <v>1513581</v>
      </c>
      <c r="C14" s="1434">
        <v>3130659</v>
      </c>
      <c r="D14" s="1435">
        <v>0.4834704130983285</v>
      </c>
    </row>
    <row r="15" spans="1:14" ht="21">
      <c r="A15" s="1430" t="s">
        <v>931</v>
      </c>
      <c r="B15" s="1434">
        <v>1530988</v>
      </c>
      <c r="C15" s="1434">
        <v>3148124</v>
      </c>
      <c r="D15" s="1435">
        <v>0.48631756563591522</v>
      </c>
    </row>
    <row r="16" spans="1:14" ht="21">
      <c r="A16" s="1436" t="s">
        <v>946</v>
      </c>
      <c r="B16" s="1446">
        <v>1553760</v>
      </c>
      <c r="C16" s="1446">
        <v>3164622</v>
      </c>
      <c r="D16" s="1437">
        <f>B16/C16</f>
        <v>0.4909780694187173</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20"/>
  <sheetViews>
    <sheetView showGridLines="0" view="pageBreakPreview" zoomScale="85" zoomScaleNormal="85" zoomScaleSheetLayoutView="85" workbookViewId="0">
      <selection activeCell="I11" sqref="I11"/>
    </sheetView>
  </sheetViews>
  <sheetFormatPr baseColWidth="10" defaultColWidth="11.42578125" defaultRowHeight="15"/>
  <cols>
    <col min="1" max="1" width="13" style="77" customWidth="1"/>
    <col min="2" max="2" width="14.28515625" style="77" hidden="1" customWidth="1"/>
    <col min="3" max="3" width="15.85546875" style="77" customWidth="1"/>
    <col min="4" max="4" width="18.5703125" style="77" customWidth="1"/>
    <col min="5" max="5" width="21.28515625" style="77" customWidth="1"/>
    <col min="6" max="16384" width="11.42578125" style="77"/>
  </cols>
  <sheetData>
    <row r="1" spans="1:15" ht="72.75" customHeight="1">
      <c r="A1" s="1873"/>
      <c r="B1" s="1873"/>
      <c r="C1" s="1873"/>
      <c r="D1" s="1873"/>
      <c r="E1" s="1873"/>
      <c r="F1" s="1873"/>
      <c r="G1" s="1873"/>
      <c r="H1" s="1873"/>
      <c r="I1" s="1873"/>
      <c r="J1" s="1873"/>
      <c r="K1" s="1873"/>
      <c r="L1" s="1873"/>
      <c r="M1" s="1873"/>
      <c r="N1" s="1873"/>
      <c r="O1" s="1873"/>
    </row>
    <row r="2" spans="1:15" ht="39" customHeight="1">
      <c r="A2" s="423" t="s">
        <v>25</v>
      </c>
      <c r="B2" s="328" t="s">
        <v>525</v>
      </c>
      <c r="C2" s="328" t="s">
        <v>932</v>
      </c>
      <c r="D2" s="328" t="s">
        <v>572</v>
      </c>
      <c r="E2" s="329" t="s">
        <v>207</v>
      </c>
      <c r="F2" s="94"/>
      <c r="G2" s="94"/>
      <c r="H2" s="322"/>
      <c r="I2" s="270"/>
      <c r="J2" s="270"/>
      <c r="K2" s="270"/>
      <c r="L2" s="270"/>
    </row>
    <row r="3" spans="1:15" ht="17.25" hidden="1">
      <c r="A3" s="429" t="s">
        <v>231</v>
      </c>
      <c r="B3" s="274">
        <v>986538</v>
      </c>
      <c r="C3" s="275">
        <v>576869</v>
      </c>
      <c r="D3" s="424">
        <v>1420224</v>
      </c>
      <c r="E3" s="425">
        <f t="shared" ref="E3:E15" si="0">C3/D3</f>
        <v>0.40618170091478528</v>
      </c>
      <c r="F3" s="94"/>
      <c r="G3" s="94"/>
      <c r="H3" s="277"/>
      <c r="I3" s="274"/>
      <c r="J3" s="275"/>
      <c r="K3" s="278"/>
      <c r="L3" s="279"/>
    </row>
    <row r="4" spans="1:15" ht="17.25" hidden="1">
      <c r="A4" s="429">
        <v>2004</v>
      </c>
      <c r="B4" s="275">
        <v>1190202</v>
      </c>
      <c r="C4" s="275">
        <v>593286</v>
      </c>
      <c r="D4" s="424">
        <v>1481853.5</v>
      </c>
      <c r="E4" s="425">
        <f t="shared" si="0"/>
        <v>0.40036751271296389</v>
      </c>
      <c r="F4" s="94"/>
      <c r="G4" s="94"/>
      <c r="H4" s="277"/>
      <c r="I4" s="275"/>
      <c r="J4" s="275"/>
      <c r="K4" s="278"/>
      <c r="L4" s="279"/>
    </row>
    <row r="5" spans="1:15" ht="17.25">
      <c r="A5" s="429">
        <v>2005</v>
      </c>
      <c r="B5" s="276">
        <v>1429521</v>
      </c>
      <c r="C5" s="275">
        <v>626615</v>
      </c>
      <c r="D5" s="424">
        <v>1437260</v>
      </c>
      <c r="E5" s="425">
        <f t="shared" si="0"/>
        <v>0.43597887647328948</v>
      </c>
      <c r="F5" s="94"/>
      <c r="G5" s="94"/>
      <c r="H5" s="277"/>
      <c r="I5" s="276"/>
      <c r="J5" s="275"/>
      <c r="K5" s="278"/>
      <c r="L5" s="279"/>
    </row>
    <row r="6" spans="1:15" ht="17.25">
      <c r="A6" s="429">
        <v>2006</v>
      </c>
      <c r="B6" s="275">
        <v>1588621</v>
      </c>
      <c r="C6" s="275">
        <v>808496</v>
      </c>
      <c r="D6" s="424">
        <v>1505582.5</v>
      </c>
      <c r="E6" s="425">
        <f t="shared" si="0"/>
        <v>0.53699880278895373</v>
      </c>
      <c r="F6" s="94"/>
      <c r="G6" s="94"/>
      <c r="H6" s="277"/>
      <c r="I6" s="275"/>
      <c r="J6" s="275"/>
      <c r="K6" s="278"/>
      <c r="L6" s="279"/>
    </row>
    <row r="7" spans="1:15" ht="17.25">
      <c r="A7" s="429">
        <v>2007</v>
      </c>
      <c r="B7" s="275">
        <v>1797027</v>
      </c>
      <c r="C7" s="275">
        <v>913203</v>
      </c>
      <c r="D7" s="424">
        <v>1571911.5</v>
      </c>
      <c r="E7" s="425">
        <f t="shared" si="0"/>
        <v>0.58095064512219674</v>
      </c>
      <c r="F7" s="94"/>
      <c r="G7" s="94"/>
      <c r="H7" s="277"/>
      <c r="I7" s="275"/>
      <c r="J7" s="275"/>
      <c r="K7" s="278"/>
      <c r="L7" s="279"/>
    </row>
    <row r="8" spans="1:15" ht="17.25">
      <c r="A8" s="429">
        <v>2008</v>
      </c>
      <c r="B8" s="275">
        <v>1983720</v>
      </c>
      <c r="C8" s="275">
        <v>929743</v>
      </c>
      <c r="D8" s="424">
        <v>1566047</v>
      </c>
      <c r="E8" s="425">
        <f t="shared" si="0"/>
        <v>0.59368780119626041</v>
      </c>
      <c r="H8" s="277"/>
      <c r="I8" s="275"/>
      <c r="J8" s="275"/>
      <c r="K8" s="278"/>
      <c r="L8" s="279"/>
    </row>
    <row r="9" spans="1:15" ht="17.25">
      <c r="A9" s="429">
        <v>2009</v>
      </c>
      <c r="B9" s="275">
        <v>2193890</v>
      </c>
      <c r="C9" s="275">
        <v>1118293</v>
      </c>
      <c r="D9" s="424">
        <v>1560994</v>
      </c>
      <c r="E9" s="425">
        <f t="shared" si="0"/>
        <v>0.71639801306090867</v>
      </c>
      <c r="H9" s="277"/>
      <c r="I9" s="275"/>
      <c r="J9" s="275"/>
      <c r="K9" s="278"/>
      <c r="L9" s="279"/>
    </row>
    <row r="10" spans="1:15" ht="17.25">
      <c r="A10" s="429">
        <v>2010</v>
      </c>
      <c r="B10" s="275">
        <v>2374783</v>
      </c>
      <c r="C10" s="275">
        <v>1189601</v>
      </c>
      <c r="D10" s="424">
        <v>1631129</v>
      </c>
      <c r="E10" s="425">
        <f t="shared" si="0"/>
        <v>0.72931141559006063</v>
      </c>
      <c r="H10" s="277"/>
      <c r="I10" s="275"/>
      <c r="J10" s="275"/>
      <c r="K10" s="278"/>
      <c r="L10" s="279"/>
    </row>
    <row r="11" spans="1:15" ht="17.25">
      <c r="A11" s="429" t="s">
        <v>234</v>
      </c>
      <c r="B11" s="275">
        <v>2552974</v>
      </c>
      <c r="C11" s="275">
        <v>1242780</v>
      </c>
      <c r="D11" s="424">
        <v>1686216</v>
      </c>
      <c r="E11" s="425">
        <f t="shared" si="0"/>
        <v>0.73702301484507327</v>
      </c>
      <c r="H11" s="277"/>
      <c r="I11" s="275"/>
      <c r="J11" s="275"/>
      <c r="K11" s="278"/>
      <c r="L11" s="279"/>
    </row>
    <row r="12" spans="1:15" ht="16.5" customHeight="1">
      <c r="A12" s="429" t="s">
        <v>485</v>
      </c>
      <c r="B12" s="275">
        <v>2714449</v>
      </c>
      <c r="C12" s="275">
        <v>1291137</v>
      </c>
      <c r="D12" s="424">
        <v>1716228</v>
      </c>
      <c r="E12" s="425">
        <f t="shared" si="0"/>
        <v>0.75231088177095351</v>
      </c>
      <c r="F12" s="13"/>
      <c r="G12" s="14"/>
      <c r="H12" s="277"/>
      <c r="I12" s="275"/>
      <c r="J12" s="275"/>
      <c r="K12" s="278"/>
      <c r="L12" s="279"/>
    </row>
    <row r="13" spans="1:15" ht="17.25">
      <c r="A13" s="429" t="s">
        <v>573</v>
      </c>
      <c r="B13" s="275">
        <v>2881130</v>
      </c>
      <c r="C13" s="275">
        <v>1376966</v>
      </c>
      <c r="D13" s="424">
        <v>1769801</v>
      </c>
      <c r="E13" s="425">
        <f t="shared" si="0"/>
        <v>0.77803436657567715</v>
      </c>
      <c r="F13" s="14"/>
      <c r="G13" s="14"/>
      <c r="H13" s="277"/>
      <c r="I13" s="275"/>
      <c r="J13" s="275"/>
      <c r="K13" s="278"/>
      <c r="L13" s="279"/>
    </row>
    <row r="14" spans="1:15" ht="17.25">
      <c r="A14" s="429" t="s">
        <v>581</v>
      </c>
      <c r="B14" s="275">
        <v>3032720</v>
      </c>
      <c r="C14" s="275">
        <v>1508392</v>
      </c>
      <c r="D14" s="424">
        <v>1865496</v>
      </c>
      <c r="E14" s="425">
        <f t="shared" si="0"/>
        <v>0.80857423441272458</v>
      </c>
      <c r="F14" s="14"/>
      <c r="G14" s="14"/>
      <c r="H14" s="14"/>
      <c r="I14" s="96"/>
      <c r="J14" s="15"/>
    </row>
    <row r="15" spans="1:15" ht="17.25">
      <c r="A15" s="430" t="s">
        <v>947</v>
      </c>
      <c r="B15" s="426">
        <v>3032720</v>
      </c>
      <c r="C15" s="426">
        <f>+'III.5.3.Afil. SVDS'!B16</f>
        <v>1553760</v>
      </c>
      <c r="D15" s="427">
        <v>1865496</v>
      </c>
      <c r="E15" s="428">
        <f t="shared" si="0"/>
        <v>0.83289377195126657</v>
      </c>
      <c r="F15" s="14"/>
      <c r="G15" s="14"/>
      <c r="H15" s="14"/>
      <c r="I15" s="96"/>
      <c r="J15" s="15"/>
    </row>
    <row r="16" spans="1:15">
      <c r="B16" s="96"/>
      <c r="C16" s="96"/>
      <c r="D16" s="23"/>
      <c r="E16" s="96"/>
      <c r="F16" s="14"/>
      <c r="G16" s="14"/>
      <c r="H16" s="14"/>
      <c r="I16" s="96"/>
      <c r="J16" s="15"/>
    </row>
    <row r="17" spans="2:10">
      <c r="B17" s="96"/>
      <c r="C17" s="96"/>
      <c r="D17" s="96"/>
      <c r="E17" s="96"/>
      <c r="F17" s="13"/>
      <c r="G17" s="13"/>
      <c r="H17" s="13"/>
      <c r="I17" s="96"/>
      <c r="J17" s="15"/>
    </row>
    <row r="18" spans="2:10">
      <c r="B18" s="96"/>
      <c r="C18" s="96"/>
      <c r="D18" s="96"/>
      <c r="E18" s="96"/>
      <c r="F18" s="116"/>
      <c r="G18" s="116"/>
      <c r="H18" s="116"/>
      <c r="I18" s="96"/>
      <c r="J18" s="96"/>
    </row>
    <row r="19" spans="2:10">
      <c r="B19" s="96"/>
      <c r="C19" s="96"/>
      <c r="D19" s="96"/>
      <c r="E19" s="96"/>
      <c r="F19" s="96"/>
      <c r="G19" s="96"/>
      <c r="H19" s="96"/>
      <c r="I19" s="96"/>
      <c r="J19" s="96"/>
    </row>
    <row r="20" spans="2:10">
      <c r="B20" s="96"/>
      <c r="C20" s="96"/>
      <c r="D20" s="96"/>
      <c r="E20" s="96"/>
      <c r="F20" s="96"/>
      <c r="G20" s="96"/>
      <c r="H20" s="96"/>
      <c r="I20" s="96"/>
      <c r="J20" s="96"/>
    </row>
  </sheetData>
  <mergeCells count="1">
    <mergeCell ref="A1:O1"/>
  </mergeCells>
  <printOptions horizontalCentered="1" verticalCentered="1"/>
  <pageMargins left="0.4" right="0.4" top="0.25" bottom="0.25" header="0.314" footer="0.31496062992126"/>
  <pageSetup scale="66"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45"/>
  <sheetViews>
    <sheetView showGridLines="0" view="pageBreakPreview" topLeftCell="B1" zoomScale="70" zoomScaleNormal="100" zoomScaleSheetLayoutView="70" workbookViewId="0">
      <selection activeCell="H10" sqref="H10"/>
    </sheetView>
  </sheetViews>
  <sheetFormatPr baseColWidth="10" defaultColWidth="11.42578125" defaultRowHeight="23.25" customHeight="1"/>
  <cols>
    <col min="1" max="1" width="18.7109375" style="77" customWidth="1"/>
    <col min="2" max="2" width="18.140625" style="77" customWidth="1"/>
    <col min="3" max="3" width="17.28515625" style="77" customWidth="1"/>
    <col min="4" max="4" width="14.28515625" style="77" customWidth="1"/>
    <col min="5" max="5" width="16.28515625" style="96" bestFit="1" customWidth="1"/>
    <col min="6" max="6" width="14.28515625" style="77" bestFit="1" customWidth="1"/>
    <col min="7" max="7" width="11.7109375" style="77" bestFit="1" customWidth="1"/>
    <col min="8" max="8" width="12.85546875" style="77" bestFit="1" customWidth="1"/>
    <col min="9" max="9" width="23.140625" style="77" customWidth="1"/>
    <col min="10" max="10" width="11.140625" style="77" bestFit="1" customWidth="1"/>
    <col min="11" max="11" width="17.42578125" style="77" customWidth="1"/>
    <col min="12" max="12" width="37.28515625" style="77" customWidth="1"/>
    <col min="13" max="13" width="11.5703125" style="77" bestFit="1" customWidth="1"/>
    <col min="14" max="14" width="11.5703125" style="77" customWidth="1"/>
    <col min="15" max="15" width="15.28515625" style="77" customWidth="1"/>
    <col min="16" max="16" width="11.5703125" style="77" customWidth="1"/>
    <col min="17" max="16384" width="11.42578125" style="77"/>
  </cols>
  <sheetData>
    <row r="1" spans="1:16" ht="84.75" customHeight="1">
      <c r="A1" s="1883"/>
      <c r="B1" s="1883"/>
      <c r="C1" s="1883"/>
      <c r="D1" s="1883"/>
      <c r="E1" s="1883"/>
      <c r="F1" s="1883"/>
      <c r="G1" s="1883"/>
      <c r="H1" s="1883"/>
      <c r="I1" s="1883"/>
      <c r="J1" s="1883"/>
      <c r="K1" s="1883"/>
      <c r="L1" s="1883"/>
    </row>
    <row r="2" spans="1:16" s="39" customFormat="1" ht="15" customHeight="1">
      <c r="A2" s="1884"/>
      <c r="B2" s="1884"/>
      <c r="C2" s="1884"/>
      <c r="D2" s="1884"/>
      <c r="E2" s="1884"/>
      <c r="F2" s="1884"/>
      <c r="G2" s="1884"/>
      <c r="H2" s="1884"/>
      <c r="I2" s="1884"/>
      <c r="J2" s="1884"/>
      <c r="K2" s="1884"/>
      <c r="L2" s="1884"/>
    </row>
    <row r="3" spans="1:16" s="343" customFormat="1" ht="29.25" customHeight="1">
      <c r="A3" s="402" t="s">
        <v>187</v>
      </c>
      <c r="B3" s="345" t="s">
        <v>46</v>
      </c>
      <c r="C3" s="344" t="s">
        <v>44</v>
      </c>
      <c r="D3" s="341"/>
      <c r="G3" s="342"/>
      <c r="H3" s="342"/>
      <c r="I3" s="342"/>
      <c r="J3" s="342"/>
      <c r="K3" s="342"/>
      <c r="L3" s="342"/>
      <c r="M3" s="342"/>
      <c r="N3" s="131"/>
      <c r="O3" s="342"/>
      <c r="P3" s="342"/>
    </row>
    <row r="4" spans="1:16" ht="17.25" customHeight="1">
      <c r="A4" s="346" t="s">
        <v>222</v>
      </c>
      <c r="B4" s="1755">
        <v>21323</v>
      </c>
      <c r="C4" s="432">
        <f>+B4/$B$14</f>
        <v>1.3723483678302955E-2</v>
      </c>
      <c r="D4" s="180"/>
      <c r="G4" s="131"/>
      <c r="H4" s="131"/>
      <c r="N4" s="131"/>
      <c r="O4" s="131"/>
    </row>
    <row r="5" spans="1:16" ht="21">
      <c r="A5" s="347" t="s">
        <v>62</v>
      </c>
      <c r="B5" s="1755">
        <v>195238</v>
      </c>
      <c r="C5" s="432">
        <f t="shared" ref="C5:C13" si="0">+B5/$B$14</f>
        <v>0.12565518484193183</v>
      </c>
      <c r="D5" s="180"/>
      <c r="G5" s="131"/>
      <c r="H5" s="131"/>
      <c r="N5" s="131"/>
      <c r="O5" s="1327"/>
    </row>
    <row r="6" spans="1:16" ht="21">
      <c r="A6" s="347" t="s">
        <v>63</v>
      </c>
      <c r="B6" s="1755">
        <v>244094</v>
      </c>
      <c r="C6" s="432">
        <f t="shared" si="0"/>
        <v>0.15709890845433014</v>
      </c>
      <c r="D6" s="180"/>
      <c r="G6" s="131"/>
      <c r="H6" s="131"/>
      <c r="N6" s="131"/>
      <c r="O6" s="131"/>
    </row>
    <row r="7" spans="1:16" ht="21">
      <c r="A7" s="347" t="s">
        <v>183</v>
      </c>
      <c r="B7" s="1755">
        <v>232130</v>
      </c>
      <c r="C7" s="432">
        <f t="shared" si="0"/>
        <v>0.14939887756152817</v>
      </c>
      <c r="D7" s="180"/>
    </row>
    <row r="8" spans="1:16" ht="21">
      <c r="A8" s="347" t="s">
        <v>184</v>
      </c>
      <c r="B8" s="1755">
        <v>212426</v>
      </c>
      <c r="C8" s="432">
        <f t="shared" si="0"/>
        <v>0.13671738234991246</v>
      </c>
      <c r="D8" s="180"/>
      <c r="E8" s="77"/>
      <c r="O8" s="165"/>
    </row>
    <row r="9" spans="1:16" ht="21">
      <c r="A9" s="347" t="s">
        <v>64</v>
      </c>
      <c r="B9" s="1755">
        <v>178444</v>
      </c>
      <c r="C9" s="432">
        <f t="shared" si="0"/>
        <v>0.11484656575018021</v>
      </c>
      <c r="D9" s="180"/>
      <c r="E9" s="131"/>
    </row>
    <row r="10" spans="1:16" ht="21">
      <c r="A10" s="347" t="s">
        <v>65</v>
      </c>
      <c r="B10" s="1755">
        <v>153339</v>
      </c>
      <c r="C10" s="432">
        <f t="shared" si="0"/>
        <v>9.8688986716095148E-2</v>
      </c>
      <c r="D10" s="180"/>
      <c r="E10" s="131"/>
    </row>
    <row r="11" spans="1:16" ht="21">
      <c r="A11" s="347" t="s">
        <v>66</v>
      </c>
      <c r="B11" s="1755">
        <v>119362</v>
      </c>
      <c r="C11" s="432">
        <f t="shared" si="0"/>
        <v>7.6821388116568842E-2</v>
      </c>
      <c r="D11" s="183"/>
      <c r="E11" s="77"/>
      <c r="O11" s="221"/>
    </row>
    <row r="12" spans="1:16" ht="21">
      <c r="A12" s="347" t="s">
        <v>67</v>
      </c>
      <c r="B12" s="1755">
        <v>84941</v>
      </c>
      <c r="C12" s="432">
        <f t="shared" si="0"/>
        <v>5.466803109875399E-2</v>
      </c>
      <c r="D12" s="180"/>
      <c r="E12" s="77"/>
    </row>
    <row r="13" spans="1:16" ht="21">
      <c r="A13" s="347" t="s">
        <v>185</v>
      </c>
      <c r="B13" s="1755">
        <v>112463</v>
      </c>
      <c r="C13" s="432">
        <f t="shared" si="0"/>
        <v>7.2381191432396255E-2</v>
      </c>
      <c r="D13" s="180"/>
      <c r="E13" s="77"/>
    </row>
    <row r="14" spans="1:16" ht="16.5" customHeight="1">
      <c r="A14" s="348" t="s">
        <v>23</v>
      </c>
      <c r="B14" s="1756">
        <f>SUM(B4:B13)</f>
        <v>1553760</v>
      </c>
      <c r="C14" s="433">
        <f>SUM(C4:C13)</f>
        <v>1</v>
      </c>
      <c r="D14" s="180"/>
      <c r="E14" s="77"/>
    </row>
    <row r="15" spans="1:16" ht="23.25" customHeight="1">
      <c r="C15" s="132"/>
      <c r="D15" s="47"/>
      <c r="E15" s="77"/>
    </row>
    <row r="16" spans="1:16" ht="23.25" customHeight="1">
      <c r="B16" s="96"/>
      <c r="C16" s="96"/>
      <c r="D16" s="96"/>
      <c r="E16" s="131"/>
      <c r="F16" s="97"/>
      <c r="G16" s="97"/>
      <c r="H16" s="97"/>
      <c r="I16" s="97"/>
      <c r="J16" s="97"/>
      <c r="K16" s="97"/>
      <c r="L16" s="47"/>
    </row>
    <row r="17" spans="1:11" ht="23.25" customHeight="1">
      <c r="B17" s="96"/>
      <c r="C17" s="96"/>
      <c r="D17" s="96"/>
      <c r="F17" s="96"/>
      <c r="G17" s="96"/>
      <c r="H17" s="96"/>
      <c r="I17" s="96"/>
      <c r="J17" s="96"/>
      <c r="K17" s="96"/>
    </row>
    <row r="18" spans="1:11" ht="23.25" customHeight="1">
      <c r="B18" s="96"/>
      <c r="C18" s="96"/>
      <c r="D18" s="96"/>
      <c r="F18" s="96"/>
      <c r="G18" s="96"/>
      <c r="H18" s="96"/>
      <c r="I18" s="96"/>
      <c r="J18" s="96"/>
      <c r="K18" s="96"/>
    </row>
    <row r="19" spans="1:11" ht="23.25" customHeight="1">
      <c r="B19" s="96"/>
      <c r="C19" s="96"/>
      <c r="D19" s="96"/>
      <c r="F19" s="96"/>
      <c r="G19" s="96"/>
      <c r="H19" s="96"/>
      <c r="I19" s="96"/>
      <c r="J19" s="96"/>
      <c r="K19" s="96"/>
    </row>
    <row r="20" spans="1:11" ht="23.25" customHeight="1">
      <c r="B20" s="96"/>
      <c r="C20" s="96"/>
      <c r="D20" s="96"/>
      <c r="F20" s="96"/>
      <c r="G20" s="96"/>
      <c r="H20" s="96"/>
      <c r="I20" s="96"/>
      <c r="J20" s="96"/>
      <c r="K20" s="96"/>
    </row>
    <row r="21" spans="1:11" ht="23.25" customHeight="1">
      <c r="B21" s="96"/>
      <c r="C21" s="96"/>
      <c r="D21" s="96"/>
      <c r="F21" s="96"/>
      <c r="G21" s="96"/>
      <c r="H21" s="96"/>
      <c r="I21" s="96"/>
      <c r="J21" s="96"/>
      <c r="K21" s="96"/>
    </row>
    <row r="22" spans="1:11" ht="23.25" customHeight="1">
      <c r="B22" s="96"/>
      <c r="C22" s="96"/>
      <c r="D22" s="96"/>
      <c r="F22" s="96"/>
      <c r="G22" s="96"/>
      <c r="H22" s="96"/>
      <c r="I22" s="96"/>
      <c r="J22" s="96"/>
      <c r="K22" s="96"/>
    </row>
    <row r="23" spans="1:11" ht="23.25" customHeight="1">
      <c r="B23" s="96"/>
      <c r="C23" s="96"/>
      <c r="D23" s="96"/>
      <c r="F23" s="96"/>
      <c r="G23" s="96"/>
      <c r="H23" s="96"/>
      <c r="I23" s="96"/>
      <c r="J23" s="96"/>
      <c r="K23" s="96"/>
    </row>
    <row r="24" spans="1:11" ht="23.25" customHeight="1">
      <c r="B24" s="96"/>
      <c r="C24" s="96"/>
      <c r="D24" s="96"/>
      <c r="F24" s="96"/>
      <c r="G24" s="96"/>
      <c r="H24" s="96"/>
      <c r="I24" s="96"/>
      <c r="J24" s="96"/>
      <c r="K24" s="96"/>
    </row>
    <row r="25" spans="1:11" ht="23.25" customHeight="1">
      <c r="A25" s="70"/>
      <c r="B25" s="100"/>
      <c r="C25" s="100"/>
      <c r="D25" s="100"/>
      <c r="E25" s="100"/>
      <c r="F25" s="100"/>
      <c r="G25" s="100"/>
      <c r="H25" s="100"/>
      <c r="I25" s="100"/>
      <c r="J25" s="100"/>
      <c r="K25" s="100"/>
    </row>
    <row r="26" spans="1:11" ht="23.25" customHeight="1">
      <c r="A26" s="70"/>
      <c r="B26" s="100"/>
      <c r="C26" s="100"/>
      <c r="D26" s="100"/>
      <c r="E26" s="100"/>
      <c r="F26" s="100"/>
      <c r="G26" s="100"/>
      <c r="H26" s="100"/>
      <c r="I26" s="100"/>
      <c r="J26" s="100"/>
      <c r="K26" s="100"/>
    </row>
    <row r="27" spans="1:11" ht="23.25" customHeight="1">
      <c r="A27" s="70"/>
      <c r="B27" s="100"/>
      <c r="C27" s="100"/>
      <c r="D27" s="100"/>
      <c r="E27" s="100"/>
      <c r="F27" s="100"/>
      <c r="G27" s="100"/>
      <c r="H27" s="100"/>
      <c r="I27" s="100"/>
      <c r="J27" s="100"/>
      <c r="K27" s="100"/>
    </row>
    <row r="28" spans="1:11" ht="23.25" customHeight="1">
      <c r="A28" s="70"/>
      <c r="B28" s="100"/>
      <c r="C28" s="100"/>
      <c r="D28" s="100"/>
      <c r="E28" s="100"/>
      <c r="F28" s="100"/>
      <c r="G28" s="100"/>
      <c r="H28" s="100"/>
      <c r="I28" s="100"/>
      <c r="J28" s="100"/>
      <c r="K28" s="100"/>
    </row>
    <row r="29" spans="1:11" ht="23.25" customHeight="1">
      <c r="A29" s="70"/>
      <c r="B29" s="100"/>
      <c r="C29" s="100"/>
      <c r="D29" s="100"/>
      <c r="E29" s="100"/>
      <c r="F29" s="100"/>
      <c r="G29" s="100"/>
      <c r="H29" s="100"/>
      <c r="I29" s="100"/>
      <c r="J29" s="100"/>
      <c r="K29" s="100"/>
    </row>
    <row r="30" spans="1:11" ht="23.25" customHeight="1">
      <c r="A30" s="70"/>
      <c r="B30" s="100"/>
      <c r="C30" s="100"/>
      <c r="D30" s="100"/>
      <c r="E30" s="100"/>
      <c r="F30" s="100"/>
      <c r="G30" s="100"/>
      <c r="H30" s="100"/>
      <c r="I30" s="100"/>
      <c r="J30" s="100"/>
      <c r="K30" s="100"/>
    </row>
    <row r="31" spans="1:11" ht="23.25" customHeight="1">
      <c r="A31" s="70"/>
      <c r="B31" s="100"/>
      <c r="C31" s="100"/>
      <c r="D31" s="100"/>
      <c r="E31" s="100"/>
      <c r="F31" s="100"/>
      <c r="G31" s="100"/>
      <c r="H31" s="100"/>
      <c r="I31" s="100"/>
      <c r="J31" s="100"/>
      <c r="K31" s="100"/>
    </row>
    <row r="32" spans="1:11" ht="23.25" customHeight="1">
      <c r="A32" s="70"/>
      <c r="B32" s="100"/>
      <c r="C32" s="100"/>
      <c r="D32" s="100"/>
      <c r="E32" s="100"/>
      <c r="F32" s="100"/>
      <c r="G32" s="100"/>
      <c r="H32" s="100"/>
      <c r="I32" s="100"/>
      <c r="J32" s="100"/>
      <c r="K32" s="100"/>
    </row>
    <row r="33" spans="1:11" ht="23.25" customHeight="1">
      <c r="A33" s="70"/>
      <c r="B33" s="100"/>
      <c r="C33" s="100"/>
      <c r="D33" s="100"/>
      <c r="E33" s="100"/>
      <c r="F33" s="100"/>
      <c r="G33" s="100"/>
      <c r="H33" s="100"/>
      <c r="I33" s="100"/>
      <c r="J33" s="100"/>
      <c r="K33" s="100"/>
    </row>
    <row r="34" spans="1:11" ht="23.25" customHeight="1">
      <c r="A34" s="70"/>
      <c r="B34" s="100"/>
      <c r="C34" s="100"/>
      <c r="D34" s="100"/>
      <c r="E34" s="100"/>
      <c r="F34" s="100"/>
      <c r="G34" s="100"/>
      <c r="H34" s="100"/>
      <c r="I34" s="100"/>
      <c r="J34" s="100"/>
      <c r="K34" s="100"/>
    </row>
    <row r="35" spans="1:11" ht="23.25" customHeight="1">
      <c r="A35" s="70"/>
      <c r="B35" s="100"/>
      <c r="C35" s="100"/>
      <c r="D35" s="100"/>
      <c r="E35" s="100"/>
      <c r="F35" s="100"/>
      <c r="G35" s="100"/>
      <c r="H35" s="100"/>
      <c r="I35" s="100"/>
      <c r="J35" s="100"/>
      <c r="K35" s="100"/>
    </row>
    <row r="36" spans="1:11" ht="23.25" customHeight="1">
      <c r="A36" s="70"/>
      <c r="B36" s="100"/>
      <c r="C36" s="100"/>
      <c r="D36" s="100"/>
      <c r="E36" s="100"/>
      <c r="F36" s="100"/>
      <c r="G36" s="100"/>
      <c r="H36" s="100"/>
      <c r="I36" s="100"/>
      <c r="J36" s="100"/>
      <c r="K36" s="100"/>
    </row>
    <row r="37" spans="1:11" ht="23.25" customHeight="1">
      <c r="A37" s="70"/>
      <c r="B37" s="100"/>
      <c r="C37" s="100"/>
      <c r="D37" s="100"/>
      <c r="E37" s="100"/>
      <c r="F37" s="100"/>
      <c r="G37" s="100"/>
      <c r="H37" s="100"/>
      <c r="I37" s="100"/>
      <c r="J37" s="100"/>
      <c r="K37" s="100"/>
    </row>
    <row r="38" spans="1:11" ht="23.25" customHeight="1">
      <c r="A38" s="70"/>
      <c r="B38" s="100"/>
      <c r="C38" s="100"/>
      <c r="D38" s="100"/>
      <c r="E38" s="100"/>
      <c r="F38" s="100"/>
      <c r="G38" s="100"/>
      <c r="H38" s="100"/>
      <c r="I38" s="100"/>
      <c r="J38" s="100"/>
      <c r="K38" s="100"/>
    </row>
    <row r="39" spans="1:11" ht="23.25" customHeight="1">
      <c r="A39" s="70"/>
      <c r="B39" s="100"/>
      <c r="C39" s="100"/>
      <c r="D39" s="100"/>
      <c r="E39" s="100"/>
      <c r="F39" s="100"/>
      <c r="G39" s="100"/>
      <c r="H39" s="100"/>
      <c r="I39" s="100"/>
      <c r="J39" s="100"/>
      <c r="K39" s="100"/>
    </row>
    <row r="40" spans="1:11" ht="23.25" customHeight="1">
      <c r="A40" s="100"/>
      <c r="C40" s="100"/>
      <c r="D40" s="100"/>
      <c r="E40" s="100"/>
      <c r="F40" s="100"/>
      <c r="G40" s="100"/>
      <c r="H40" s="100"/>
      <c r="I40" s="100"/>
      <c r="J40" s="100"/>
      <c r="K40" s="100"/>
    </row>
    <row r="41" spans="1:11" ht="23.25" customHeight="1">
      <c r="A41" s="70"/>
      <c r="B41" s="100"/>
      <c r="C41" s="100"/>
      <c r="D41" s="100"/>
      <c r="E41" s="100"/>
      <c r="F41" s="100"/>
      <c r="G41" s="100"/>
      <c r="H41" s="100"/>
      <c r="I41" s="100"/>
      <c r="J41" s="100"/>
      <c r="K41" s="100"/>
    </row>
    <row r="42" spans="1:11" ht="23.25" customHeight="1">
      <c r="A42" s="70"/>
      <c r="B42" s="100"/>
      <c r="C42" s="100"/>
      <c r="D42" s="100"/>
      <c r="E42" s="100"/>
      <c r="F42" s="100"/>
      <c r="G42" s="100"/>
      <c r="H42" s="100"/>
      <c r="I42" s="100"/>
      <c r="J42" s="100"/>
      <c r="K42" s="100"/>
    </row>
    <row r="43" spans="1:11" ht="23.25" customHeight="1">
      <c r="A43" s="70"/>
      <c r="B43" s="100"/>
      <c r="C43" s="100"/>
      <c r="D43" s="100"/>
      <c r="E43" s="100"/>
      <c r="F43" s="100"/>
      <c r="G43" s="100"/>
      <c r="H43" s="100"/>
      <c r="I43" s="100"/>
      <c r="J43" s="100"/>
      <c r="K43" s="100"/>
    </row>
    <row r="44" spans="1:11" ht="23.25" customHeight="1">
      <c r="A44" s="73"/>
      <c r="B44" s="100"/>
      <c r="C44" s="100"/>
      <c r="D44" s="100"/>
      <c r="E44" s="100"/>
      <c r="F44" s="100"/>
      <c r="G44" s="100"/>
      <c r="H44" s="100"/>
      <c r="I44" s="100"/>
      <c r="J44" s="100"/>
      <c r="K44" s="100"/>
    </row>
    <row r="45" spans="1:11" ht="23.25" customHeight="1">
      <c r="A45" s="70"/>
      <c r="B45" s="100"/>
      <c r="C45" s="100"/>
      <c r="D45" s="100"/>
      <c r="E45" s="100"/>
      <c r="F45" s="100"/>
      <c r="G45" s="100"/>
      <c r="H45" s="100"/>
      <c r="I45" s="100"/>
      <c r="J45" s="100"/>
      <c r="K45" s="100"/>
    </row>
  </sheetData>
  <mergeCells count="2">
    <mergeCell ref="A1:L1"/>
    <mergeCell ref="A2:L2"/>
  </mergeCells>
  <printOptions horizontalCentered="1" verticalCentered="1"/>
  <pageMargins left="0.4" right="0.4" top="0.25" bottom="0.25" header="0.31496062992126" footer="0.31496062992126"/>
  <pageSetup scale="6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
  <sheetViews>
    <sheetView showGridLines="0" view="pageBreakPreview" zoomScale="55" zoomScaleNormal="100" zoomScaleSheetLayoutView="55" workbookViewId="0"/>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R45"/>
  <sheetViews>
    <sheetView showGridLines="0" view="pageBreakPreview" zoomScale="70" zoomScaleNormal="100" zoomScaleSheetLayoutView="70" workbookViewId="0">
      <selection activeCell="O10" sqref="O10"/>
    </sheetView>
  </sheetViews>
  <sheetFormatPr baseColWidth="10" defaultColWidth="11.42578125" defaultRowHeight="23.25" customHeight="1"/>
  <cols>
    <col min="1" max="1" width="28.7109375" style="77" customWidth="1"/>
    <col min="2" max="2" width="14.7109375" style="77" customWidth="1"/>
    <col min="3" max="3" width="14.5703125" style="77" customWidth="1"/>
    <col min="4" max="4" width="14.28515625" style="77" customWidth="1"/>
    <col min="5" max="7" width="11.7109375" style="77" bestFit="1" customWidth="1"/>
    <col min="8" max="8" width="12.85546875" style="77" bestFit="1" customWidth="1"/>
    <col min="9" max="9" width="11.140625" style="77" bestFit="1" customWidth="1"/>
    <col min="10" max="10" width="15.5703125" style="77" customWidth="1"/>
    <col min="11" max="11" width="20.7109375" style="77" customWidth="1"/>
    <col min="12" max="12" width="20.140625" style="77" customWidth="1"/>
    <col min="13" max="18" width="11.140625" style="77" customWidth="1"/>
    <col min="19" max="16384" width="11.42578125" style="77"/>
  </cols>
  <sheetData>
    <row r="1" spans="1:18" ht="87" customHeight="1">
      <c r="A1" s="1885"/>
      <c r="B1" s="1885"/>
      <c r="C1" s="1885"/>
      <c r="D1" s="1885"/>
      <c r="E1" s="1885"/>
      <c r="F1" s="1885"/>
      <c r="G1" s="1885"/>
      <c r="H1" s="1885"/>
      <c r="I1" s="1885"/>
      <c r="J1" s="1885"/>
      <c r="K1" s="1885"/>
      <c r="L1" s="1885"/>
      <c r="M1" s="125"/>
      <c r="N1" s="125"/>
      <c r="O1" s="125"/>
      <c r="P1" s="125"/>
      <c r="Q1" s="125"/>
      <c r="R1" s="125"/>
    </row>
    <row r="2" spans="1:18" s="94" customFormat="1" ht="12" customHeight="1">
      <c r="A2" s="184"/>
      <c r="B2" s="184"/>
      <c r="C2" s="184"/>
      <c r="D2" s="77"/>
      <c r="E2" s="77"/>
      <c r="F2" s="77"/>
      <c r="G2" s="74"/>
      <c r="H2" s="184"/>
      <c r="I2" s="184"/>
      <c r="J2" s="184"/>
      <c r="K2" s="184"/>
      <c r="L2" s="184"/>
      <c r="M2" s="125"/>
      <c r="N2" s="125"/>
      <c r="O2" s="125"/>
      <c r="P2" s="125"/>
      <c r="Q2" s="125"/>
      <c r="R2" s="125"/>
    </row>
    <row r="3" spans="1:18" ht="47.25" customHeight="1">
      <c r="A3" s="1886" t="s">
        <v>182</v>
      </c>
      <c r="B3" s="1886"/>
      <c r="C3" s="1886"/>
      <c r="G3" s="74"/>
      <c r="H3" s="74"/>
      <c r="I3" s="74"/>
      <c r="J3" s="74"/>
      <c r="K3" s="74"/>
      <c r="L3" s="74"/>
      <c r="M3" s="74"/>
      <c r="N3" s="74"/>
      <c r="O3" s="74"/>
      <c r="P3" s="74"/>
      <c r="Q3" s="74"/>
      <c r="R3" s="74"/>
    </row>
    <row r="4" spans="1:18" ht="36.75" customHeight="1">
      <c r="A4" s="438" t="s">
        <v>61</v>
      </c>
      <c r="B4" s="434" t="s">
        <v>46</v>
      </c>
      <c r="C4" s="435" t="s">
        <v>44</v>
      </c>
      <c r="G4" s="74"/>
      <c r="H4" s="74"/>
      <c r="I4" s="74"/>
      <c r="J4" s="74"/>
      <c r="K4" s="74"/>
      <c r="L4" s="74"/>
      <c r="M4" s="74"/>
      <c r="N4" s="130"/>
      <c r="O4" s="74"/>
      <c r="P4" s="74"/>
      <c r="Q4" s="74"/>
      <c r="R4" s="74"/>
    </row>
    <row r="5" spans="1:18" ht="17.25" customHeight="1">
      <c r="A5" s="440" t="s">
        <v>68</v>
      </c>
      <c r="B5" s="431">
        <v>511889</v>
      </c>
      <c r="C5" s="1363">
        <f>+B5/$B$14</f>
        <v>0.329451781484914</v>
      </c>
      <c r="G5" s="74"/>
      <c r="H5" s="74"/>
      <c r="I5" s="74"/>
      <c r="J5" s="74"/>
      <c r="K5" s="74"/>
      <c r="L5" s="74"/>
      <c r="M5" s="74"/>
      <c r="N5" s="114"/>
      <c r="O5" s="74"/>
      <c r="P5" s="74"/>
      <c r="Q5" s="74"/>
      <c r="R5" s="74"/>
    </row>
    <row r="6" spans="1:18" ht="17.25" customHeight="1">
      <c r="A6" s="441" t="s">
        <v>69</v>
      </c>
      <c r="B6" s="431">
        <v>545616</v>
      </c>
      <c r="C6" s="1363">
        <f t="shared" ref="C6:C13" si="0">+B6/$B$14</f>
        <v>0.35115848007414274</v>
      </c>
      <c r="G6" s="74"/>
      <c r="H6" s="74"/>
      <c r="I6" s="74"/>
      <c r="J6" s="74"/>
      <c r="K6" s="74"/>
      <c r="L6" s="74"/>
      <c r="M6" s="74"/>
      <c r="O6" s="74"/>
      <c r="P6" s="74"/>
      <c r="Q6" s="74"/>
      <c r="R6" s="74"/>
    </row>
    <row r="7" spans="1:18" ht="17.25" customHeight="1">
      <c r="A7" s="441" t="s">
        <v>70</v>
      </c>
      <c r="B7" s="431">
        <v>178663</v>
      </c>
      <c r="C7" s="1363">
        <f t="shared" si="0"/>
        <v>0.1149875141592009</v>
      </c>
      <c r="G7" s="74"/>
      <c r="H7" s="74"/>
      <c r="I7" s="74"/>
      <c r="J7" s="74"/>
      <c r="K7" s="74"/>
      <c r="L7" s="74"/>
      <c r="M7" s="74"/>
      <c r="N7" s="182"/>
      <c r="O7" s="945"/>
      <c r="P7" s="74"/>
      <c r="Q7" s="74"/>
      <c r="R7" s="74"/>
    </row>
    <row r="8" spans="1:18" ht="17.25" customHeight="1">
      <c r="A8" s="441" t="s">
        <v>71</v>
      </c>
      <c r="B8" s="431">
        <v>97141</v>
      </c>
      <c r="C8" s="1363">
        <f t="shared" si="0"/>
        <v>6.2519951601276907E-2</v>
      </c>
      <c r="G8" s="74"/>
      <c r="H8" s="74"/>
      <c r="I8" s="74"/>
      <c r="J8" s="74"/>
      <c r="K8" s="74"/>
      <c r="L8" s="74"/>
      <c r="M8" s="74"/>
      <c r="N8" s="182"/>
      <c r="O8" s="945"/>
      <c r="P8" s="74"/>
      <c r="Q8" s="74"/>
      <c r="R8" s="74"/>
    </row>
    <row r="9" spans="1:18" ht="17.25" customHeight="1">
      <c r="A9" s="441" t="s">
        <v>72</v>
      </c>
      <c r="B9" s="431">
        <v>129678</v>
      </c>
      <c r="C9" s="1363">
        <f t="shared" si="0"/>
        <v>8.3460766141489034E-2</v>
      </c>
      <c r="F9" s="74"/>
      <c r="G9" s="74"/>
      <c r="H9" s="74"/>
      <c r="I9" s="74"/>
      <c r="J9" s="74"/>
      <c r="K9" s="74"/>
      <c r="L9" s="74"/>
      <c r="M9" s="74"/>
      <c r="N9" s="182"/>
      <c r="O9" s="945"/>
      <c r="P9" s="74"/>
      <c r="Q9" s="74"/>
      <c r="R9" s="74"/>
    </row>
    <row r="10" spans="1:18" ht="17.25" customHeight="1">
      <c r="A10" s="441" t="s">
        <v>73</v>
      </c>
      <c r="B10" s="431">
        <v>36598</v>
      </c>
      <c r="C10" s="1363">
        <f t="shared" si="0"/>
        <v>2.3554474307486355E-2</v>
      </c>
      <c r="F10" s="74"/>
      <c r="G10" s="74"/>
      <c r="H10" s="74"/>
      <c r="I10" s="74"/>
      <c r="J10" s="74"/>
      <c r="K10" s="74"/>
      <c r="L10" s="74"/>
      <c r="M10" s="74"/>
      <c r="N10" s="182"/>
      <c r="O10" s="945"/>
      <c r="P10" s="74"/>
      <c r="Q10" s="74"/>
      <c r="R10" s="74"/>
    </row>
    <row r="11" spans="1:18" ht="17.25" customHeight="1">
      <c r="A11" s="441" t="s">
        <v>74</v>
      </c>
      <c r="B11" s="431">
        <v>20367</v>
      </c>
      <c r="C11" s="1363">
        <f t="shared" si="0"/>
        <v>1.310820203892493E-2</v>
      </c>
      <c r="F11" s="74"/>
      <c r="G11" s="74"/>
      <c r="H11" s="96"/>
      <c r="I11" s="96"/>
      <c r="J11" s="96"/>
      <c r="K11" s="96"/>
      <c r="L11" s="96"/>
      <c r="M11" s="96"/>
      <c r="N11" s="182"/>
      <c r="O11" s="945"/>
      <c r="P11" s="96"/>
      <c r="Q11" s="96"/>
      <c r="R11" s="96"/>
    </row>
    <row r="12" spans="1:18" ht="17.25" customHeight="1">
      <c r="A12" s="441" t="s">
        <v>75</v>
      </c>
      <c r="B12" s="431">
        <v>18964</v>
      </c>
      <c r="C12" s="1363">
        <f t="shared" si="0"/>
        <v>1.2205231181134795E-2</v>
      </c>
      <c r="F12" s="74"/>
      <c r="G12" s="74"/>
      <c r="L12" s="96"/>
      <c r="M12" s="96"/>
      <c r="N12" s="182"/>
      <c r="O12" s="945"/>
      <c r="P12" s="96"/>
      <c r="Q12" s="96"/>
      <c r="R12" s="96"/>
    </row>
    <row r="13" spans="1:18" ht="17.25" customHeight="1">
      <c r="A13" s="441" t="s">
        <v>76</v>
      </c>
      <c r="B13" s="431">
        <v>14844</v>
      </c>
      <c r="C13" s="1363">
        <f t="shared" si="0"/>
        <v>9.553599011430337E-3</v>
      </c>
      <c r="D13" s="182"/>
      <c r="F13" s="74"/>
      <c r="G13" s="74"/>
      <c r="N13" s="182"/>
      <c r="O13" s="945"/>
    </row>
    <row r="14" spans="1:18" ht="18.75">
      <c r="A14" s="439" t="s">
        <v>23</v>
      </c>
      <c r="B14" s="436">
        <f>SUM(B5:B13)</f>
        <v>1553760</v>
      </c>
      <c r="C14" s="437">
        <f>SUM(C5:C13)</f>
        <v>1</v>
      </c>
      <c r="F14" s="74"/>
      <c r="G14" s="74"/>
      <c r="N14" s="182"/>
    </row>
    <row r="15" spans="1:18" ht="23.25" customHeight="1">
      <c r="C15" s="93"/>
      <c r="D15" s="93"/>
      <c r="F15" s="74"/>
      <c r="G15" s="96"/>
      <c r="H15" s="96"/>
      <c r="I15" s="96"/>
      <c r="J15" s="96"/>
      <c r="K15" s="96"/>
      <c r="L15" s="96"/>
      <c r="M15" s="96"/>
      <c r="N15" s="96"/>
      <c r="O15" s="96"/>
      <c r="P15" s="96"/>
      <c r="Q15" s="96"/>
      <c r="R15" s="96"/>
    </row>
    <row r="16" spans="1:18" ht="23.25" customHeight="1">
      <c r="B16" s="96"/>
      <c r="C16" s="96"/>
      <c r="D16" s="96"/>
      <c r="E16" s="96"/>
      <c r="F16" s="96"/>
      <c r="G16" s="96"/>
      <c r="H16" s="96"/>
      <c r="I16" s="96"/>
      <c r="J16" s="96"/>
      <c r="K16" s="96"/>
      <c r="L16" s="96"/>
      <c r="M16" s="96"/>
      <c r="N16" s="96"/>
      <c r="O16" s="96"/>
      <c r="P16" s="96"/>
      <c r="Q16" s="96"/>
      <c r="R16" s="96"/>
    </row>
    <row r="17" spans="1:18" ht="23.25" customHeight="1">
      <c r="B17" s="96"/>
      <c r="C17" s="96"/>
      <c r="D17" s="96"/>
      <c r="E17" s="96"/>
      <c r="F17" s="96"/>
      <c r="G17" s="96"/>
      <c r="H17" s="96"/>
      <c r="I17" s="96"/>
      <c r="J17" s="96"/>
      <c r="K17" s="96"/>
      <c r="L17" s="96"/>
      <c r="M17" s="96"/>
      <c r="N17" s="96"/>
      <c r="O17" s="96"/>
      <c r="P17" s="96"/>
      <c r="Q17" s="96"/>
      <c r="R17" s="96"/>
    </row>
    <row r="18" spans="1:18" ht="23.25" customHeight="1">
      <c r="B18" s="96"/>
      <c r="C18" s="96"/>
      <c r="D18" s="96"/>
      <c r="E18" s="96"/>
      <c r="F18" s="96"/>
      <c r="G18" s="96"/>
      <c r="H18" s="96"/>
      <c r="I18" s="96"/>
      <c r="J18" s="96"/>
      <c r="K18" s="96"/>
      <c r="L18" s="96"/>
      <c r="M18" s="96"/>
      <c r="N18" s="96"/>
      <c r="O18" s="96"/>
      <c r="P18" s="96"/>
      <c r="Q18" s="96"/>
      <c r="R18" s="96"/>
    </row>
    <row r="19" spans="1:18" ht="23.25" customHeight="1">
      <c r="B19" s="96"/>
      <c r="C19" s="96"/>
      <c r="D19" s="96"/>
      <c r="E19" s="96"/>
      <c r="F19" s="96"/>
      <c r="G19" s="96"/>
      <c r="H19" s="96"/>
      <c r="I19" s="96"/>
      <c r="J19" s="96"/>
      <c r="K19" s="96"/>
      <c r="L19" s="96"/>
      <c r="M19" s="96"/>
      <c r="N19" s="96"/>
      <c r="O19" s="96"/>
      <c r="P19" s="96"/>
      <c r="Q19" s="96"/>
      <c r="R19" s="96"/>
    </row>
    <row r="20" spans="1:18" ht="23.25" customHeight="1">
      <c r="B20" s="96"/>
      <c r="C20" s="96"/>
      <c r="D20" s="96"/>
      <c r="E20" s="96"/>
      <c r="F20" s="96"/>
      <c r="G20" s="96"/>
      <c r="H20" s="96"/>
      <c r="I20" s="96"/>
      <c r="J20" s="96"/>
      <c r="K20" s="96"/>
      <c r="L20" s="96"/>
      <c r="M20" s="96"/>
      <c r="N20" s="96"/>
      <c r="O20" s="96"/>
      <c r="P20" s="96"/>
      <c r="Q20" s="96"/>
      <c r="R20" s="96"/>
    </row>
    <row r="21" spans="1:18" ht="23.25" customHeight="1">
      <c r="B21" s="96"/>
      <c r="C21" s="96"/>
      <c r="D21" s="96"/>
      <c r="E21" s="100"/>
      <c r="F21" s="100"/>
      <c r="G21" s="100"/>
      <c r="H21" s="100"/>
      <c r="I21" s="100"/>
      <c r="J21" s="100"/>
      <c r="K21" s="100"/>
      <c r="L21" s="100"/>
      <c r="M21" s="100"/>
      <c r="N21" s="100"/>
      <c r="O21" s="100"/>
      <c r="P21" s="100"/>
      <c r="Q21" s="100"/>
      <c r="R21" s="100"/>
    </row>
    <row r="22" spans="1:18" ht="23.25" customHeight="1">
      <c r="B22" s="96"/>
      <c r="C22" s="96"/>
      <c r="D22" s="96"/>
      <c r="E22" s="100"/>
      <c r="F22" s="100"/>
      <c r="G22" s="100"/>
      <c r="H22" s="100"/>
      <c r="I22" s="100"/>
      <c r="J22" s="100"/>
      <c r="K22" s="100"/>
      <c r="L22" s="100"/>
      <c r="M22" s="100"/>
      <c r="N22" s="100"/>
      <c r="O22" s="100"/>
      <c r="P22" s="100"/>
      <c r="Q22" s="100"/>
      <c r="R22" s="100"/>
    </row>
    <row r="23" spans="1:18" ht="23.25" customHeight="1">
      <c r="B23" s="96"/>
      <c r="C23" s="96"/>
      <c r="D23" s="96"/>
      <c r="E23" s="100"/>
      <c r="F23" s="100"/>
      <c r="G23" s="100"/>
      <c r="H23" s="100"/>
      <c r="I23" s="100"/>
      <c r="J23" s="100"/>
      <c r="K23" s="100"/>
      <c r="L23" s="100"/>
      <c r="M23" s="100"/>
      <c r="N23" s="100"/>
      <c r="O23" s="100"/>
      <c r="P23" s="100"/>
      <c r="Q23" s="100"/>
      <c r="R23" s="100"/>
    </row>
    <row r="24" spans="1:18" ht="23.25" customHeight="1">
      <c r="B24" s="96"/>
      <c r="C24" s="96"/>
      <c r="D24" s="96"/>
      <c r="E24" s="100"/>
      <c r="F24" s="100"/>
      <c r="G24" s="100"/>
      <c r="H24" s="100"/>
      <c r="I24" s="100"/>
      <c r="J24" s="100"/>
      <c r="K24" s="100"/>
      <c r="L24" s="100"/>
      <c r="M24" s="100"/>
      <c r="N24" s="100"/>
      <c r="O24" s="100"/>
      <c r="P24" s="100"/>
      <c r="Q24" s="100"/>
      <c r="R24" s="100"/>
    </row>
    <row r="25" spans="1:18" ht="23.25" customHeight="1">
      <c r="A25" s="70"/>
      <c r="B25" s="100"/>
      <c r="C25" s="100"/>
      <c r="D25" s="100"/>
      <c r="E25" s="100"/>
      <c r="F25" s="100"/>
      <c r="G25" s="100"/>
      <c r="H25" s="100"/>
      <c r="I25" s="100"/>
      <c r="J25" s="100"/>
      <c r="K25" s="100"/>
      <c r="L25" s="100"/>
      <c r="M25" s="100"/>
      <c r="N25" s="100"/>
      <c r="O25" s="100"/>
      <c r="P25" s="100"/>
      <c r="Q25" s="100"/>
      <c r="R25" s="100"/>
    </row>
    <row r="26" spans="1:18" ht="23.25" customHeight="1">
      <c r="A26" s="70"/>
      <c r="B26" s="100"/>
      <c r="C26" s="100"/>
      <c r="D26" s="100"/>
      <c r="E26" s="100"/>
      <c r="F26" s="100"/>
      <c r="G26" s="100"/>
      <c r="H26" s="100"/>
      <c r="I26" s="100"/>
      <c r="J26" s="100"/>
      <c r="K26" s="100"/>
      <c r="L26" s="100"/>
      <c r="M26" s="100"/>
      <c r="N26" s="100"/>
      <c r="O26" s="100"/>
      <c r="P26" s="100"/>
      <c r="Q26" s="100"/>
      <c r="R26" s="100"/>
    </row>
    <row r="27" spans="1:18" ht="23.25" customHeight="1">
      <c r="A27" s="70"/>
      <c r="B27" s="100"/>
      <c r="C27" s="100"/>
      <c r="D27" s="100"/>
      <c r="E27" s="100"/>
      <c r="F27" s="100"/>
      <c r="G27" s="100"/>
      <c r="H27" s="100"/>
      <c r="I27" s="100"/>
      <c r="J27" s="100"/>
      <c r="K27" s="100"/>
      <c r="L27" s="100"/>
      <c r="M27" s="100"/>
      <c r="N27" s="100"/>
      <c r="O27" s="100"/>
      <c r="P27" s="100"/>
      <c r="Q27" s="100"/>
      <c r="R27" s="100"/>
    </row>
    <row r="28" spans="1:18" ht="23.25" customHeight="1">
      <c r="A28" s="70"/>
      <c r="B28" s="100"/>
      <c r="C28" s="100"/>
      <c r="D28" s="100"/>
      <c r="E28" s="100"/>
      <c r="F28" s="100"/>
      <c r="G28" s="100"/>
      <c r="H28" s="100"/>
      <c r="I28" s="100"/>
      <c r="J28" s="100"/>
      <c r="K28" s="100"/>
      <c r="L28" s="100"/>
      <c r="M28" s="100"/>
      <c r="N28" s="100"/>
      <c r="O28" s="100"/>
      <c r="P28" s="100"/>
      <c r="Q28" s="100"/>
      <c r="R28" s="100"/>
    </row>
    <row r="29" spans="1:18" ht="23.25" customHeight="1">
      <c r="A29" s="70"/>
      <c r="B29" s="100"/>
      <c r="C29" s="100"/>
      <c r="D29" s="100"/>
      <c r="E29" s="100"/>
      <c r="F29" s="100"/>
      <c r="G29" s="100"/>
      <c r="H29" s="100"/>
      <c r="I29" s="100"/>
      <c r="J29" s="100"/>
      <c r="K29" s="100"/>
      <c r="L29" s="100"/>
      <c r="M29" s="100"/>
      <c r="N29" s="100"/>
      <c r="O29" s="100" t="s">
        <v>188</v>
      </c>
      <c r="P29" s="100"/>
      <c r="Q29" s="100"/>
      <c r="R29" s="100"/>
    </row>
    <row r="30" spans="1:18" ht="23.25" customHeight="1">
      <c r="A30" s="70"/>
      <c r="B30" s="100"/>
      <c r="C30" s="100"/>
      <c r="D30" s="100"/>
      <c r="E30" s="100"/>
      <c r="F30" s="100"/>
      <c r="G30" s="100"/>
      <c r="H30" s="100"/>
      <c r="I30" s="100"/>
      <c r="J30" s="100"/>
      <c r="K30" s="100"/>
      <c r="L30" s="100"/>
      <c r="M30" s="100"/>
      <c r="N30" s="100"/>
      <c r="O30" s="100"/>
      <c r="P30" s="100"/>
      <c r="Q30" s="100"/>
      <c r="R30" s="100"/>
    </row>
    <row r="31" spans="1:18" ht="23.25" customHeight="1">
      <c r="A31" s="70"/>
      <c r="B31" s="100"/>
      <c r="C31" s="100"/>
      <c r="D31" s="100"/>
      <c r="E31" s="100"/>
      <c r="F31" s="100"/>
      <c r="G31" s="100"/>
      <c r="H31" s="100"/>
      <c r="I31" s="100"/>
      <c r="J31" s="100"/>
      <c r="K31" s="100"/>
      <c r="L31" s="100"/>
      <c r="M31" s="100"/>
      <c r="N31" s="100"/>
      <c r="O31" s="100"/>
      <c r="P31" s="100"/>
      <c r="Q31" s="100"/>
      <c r="R31" s="100"/>
    </row>
    <row r="32" spans="1:18" ht="23.25" customHeight="1">
      <c r="A32" s="70"/>
      <c r="B32" s="100"/>
      <c r="C32" s="100"/>
      <c r="D32" s="100"/>
      <c r="E32" s="100"/>
      <c r="F32" s="100"/>
      <c r="G32" s="100"/>
      <c r="H32" s="100"/>
      <c r="I32" s="100"/>
      <c r="J32" s="100"/>
      <c r="K32" s="100"/>
      <c r="L32" s="100"/>
      <c r="M32" s="100"/>
      <c r="N32" s="100"/>
      <c r="O32" s="100"/>
      <c r="P32" s="100"/>
      <c r="Q32" s="100"/>
      <c r="R32" s="100"/>
    </row>
    <row r="33" spans="1:18" ht="23.25" customHeight="1">
      <c r="A33" s="70"/>
      <c r="B33" s="100"/>
      <c r="C33" s="100"/>
      <c r="D33" s="100"/>
      <c r="E33" s="100"/>
      <c r="F33" s="100"/>
      <c r="G33" s="100"/>
      <c r="H33" s="100"/>
      <c r="I33" s="100"/>
      <c r="J33" s="100"/>
      <c r="K33" s="100"/>
      <c r="L33" s="100"/>
      <c r="M33" s="100"/>
      <c r="N33" s="100"/>
      <c r="O33" s="100"/>
      <c r="P33" s="100"/>
      <c r="Q33" s="100"/>
      <c r="R33" s="100"/>
    </row>
    <row r="34" spans="1:18" ht="23.25" customHeight="1">
      <c r="A34" s="70"/>
      <c r="B34" s="100"/>
      <c r="C34" s="100"/>
      <c r="D34" s="100"/>
      <c r="E34" s="100"/>
      <c r="F34" s="100"/>
      <c r="G34" s="100"/>
      <c r="H34" s="100"/>
      <c r="I34" s="100"/>
      <c r="J34" s="100"/>
      <c r="K34" s="100"/>
      <c r="L34" s="100"/>
      <c r="M34" s="100"/>
      <c r="N34" s="100"/>
      <c r="O34" s="100"/>
      <c r="P34" s="100"/>
      <c r="Q34" s="100"/>
      <c r="R34" s="100"/>
    </row>
    <row r="35" spans="1:18" ht="23.25" customHeight="1">
      <c r="A35" s="70"/>
      <c r="B35" s="100"/>
      <c r="C35" s="100"/>
      <c r="D35" s="100"/>
      <c r="E35" s="100"/>
      <c r="F35" s="100"/>
      <c r="G35" s="100"/>
      <c r="H35" s="100"/>
      <c r="I35" s="100"/>
      <c r="J35" s="100"/>
      <c r="K35" s="100"/>
      <c r="L35" s="100"/>
      <c r="M35" s="100"/>
      <c r="N35" s="100"/>
      <c r="O35" s="100"/>
      <c r="P35" s="100"/>
      <c r="Q35" s="100"/>
      <c r="R35" s="100"/>
    </row>
    <row r="36" spans="1:18" ht="23.25" customHeight="1">
      <c r="A36" s="70"/>
      <c r="B36" s="100"/>
      <c r="C36" s="100"/>
      <c r="D36" s="100"/>
      <c r="E36" s="100"/>
      <c r="F36" s="100"/>
      <c r="G36" s="100"/>
      <c r="H36" s="100"/>
      <c r="I36" s="100"/>
      <c r="J36" s="100"/>
      <c r="K36" s="100"/>
      <c r="L36" s="100"/>
      <c r="M36" s="100"/>
      <c r="N36" s="100"/>
      <c r="O36" s="100"/>
      <c r="P36" s="100"/>
      <c r="Q36" s="100"/>
      <c r="R36" s="100"/>
    </row>
    <row r="37" spans="1:18" ht="23.25" customHeight="1">
      <c r="A37" s="70"/>
      <c r="B37" s="100"/>
      <c r="C37" s="100"/>
      <c r="D37" s="100"/>
      <c r="E37" s="100"/>
      <c r="F37" s="100"/>
      <c r="G37" s="100"/>
      <c r="H37" s="100"/>
      <c r="I37" s="100"/>
      <c r="J37" s="100"/>
      <c r="K37" s="100"/>
      <c r="L37" s="100"/>
      <c r="M37" s="100"/>
      <c r="N37" s="100"/>
      <c r="O37" s="100"/>
      <c r="P37" s="100"/>
      <c r="Q37" s="100"/>
      <c r="R37" s="100"/>
    </row>
    <row r="38" spans="1:18" ht="23.25" customHeight="1">
      <c r="A38" s="70"/>
      <c r="B38" s="100"/>
      <c r="C38" s="100"/>
      <c r="D38" s="100"/>
      <c r="E38" s="100"/>
      <c r="F38" s="100"/>
      <c r="G38" s="100"/>
      <c r="H38" s="100"/>
      <c r="I38" s="100"/>
      <c r="J38" s="100"/>
      <c r="K38" s="100"/>
      <c r="L38" s="100"/>
      <c r="M38" s="100"/>
      <c r="N38" s="100"/>
      <c r="O38" s="100"/>
      <c r="P38" s="100"/>
      <c r="Q38" s="100"/>
      <c r="R38" s="100"/>
    </row>
    <row r="39" spans="1:18" ht="23.25" customHeight="1">
      <c r="A39" s="70"/>
      <c r="B39" s="100"/>
      <c r="C39" s="100"/>
      <c r="D39" s="100"/>
      <c r="E39" s="100"/>
      <c r="F39" s="100"/>
      <c r="G39" s="100"/>
      <c r="H39" s="100"/>
      <c r="I39" s="100"/>
      <c r="J39" s="100"/>
      <c r="K39" s="100"/>
      <c r="L39" s="100"/>
      <c r="M39" s="100"/>
      <c r="N39" s="100"/>
      <c r="O39" s="100"/>
      <c r="P39" s="100"/>
      <c r="Q39" s="100"/>
      <c r="R39" s="100"/>
    </row>
    <row r="40" spans="1:18" ht="23.25" customHeight="1">
      <c r="A40" s="70"/>
      <c r="B40" s="100"/>
      <c r="C40" s="100"/>
      <c r="D40" s="100"/>
      <c r="E40" s="100"/>
      <c r="F40" s="100"/>
      <c r="G40" s="100"/>
      <c r="H40" s="100"/>
      <c r="I40" s="100"/>
      <c r="J40" s="100"/>
      <c r="K40" s="100"/>
      <c r="L40" s="100"/>
      <c r="M40" s="100"/>
      <c r="N40" s="100"/>
      <c r="O40" s="100"/>
      <c r="P40" s="100"/>
      <c r="Q40" s="100"/>
      <c r="R40" s="100"/>
    </row>
    <row r="41" spans="1:18" ht="23.25" customHeight="1">
      <c r="A41" s="70"/>
      <c r="B41" s="100"/>
      <c r="C41" s="100"/>
      <c r="D41" s="100"/>
      <c r="E41" s="100"/>
      <c r="F41" s="100"/>
      <c r="G41" s="100"/>
      <c r="H41" s="100"/>
      <c r="I41" s="100"/>
      <c r="J41" s="100"/>
      <c r="K41" s="100"/>
      <c r="L41" s="100"/>
      <c r="M41" s="100"/>
      <c r="N41" s="100"/>
      <c r="O41" s="100"/>
      <c r="P41" s="100"/>
      <c r="Q41" s="100"/>
      <c r="R41" s="100"/>
    </row>
    <row r="42" spans="1:18" ht="23.25" customHeight="1">
      <c r="A42" s="70"/>
      <c r="B42" s="100"/>
      <c r="C42" s="100"/>
      <c r="D42" s="100"/>
    </row>
    <row r="43" spans="1:18" ht="23.25" customHeight="1">
      <c r="A43" s="70"/>
      <c r="B43" s="100"/>
      <c r="C43" s="100"/>
      <c r="D43" s="100"/>
    </row>
    <row r="44" spans="1:18" ht="23.25" customHeight="1">
      <c r="A44" s="73"/>
      <c r="B44" s="100"/>
      <c r="C44" s="100"/>
      <c r="D44" s="100"/>
    </row>
    <row r="45" spans="1:18" ht="23.25" customHeight="1">
      <c r="A45" s="70"/>
      <c r="B45" s="100"/>
      <c r="C45" s="100"/>
      <c r="D45" s="100"/>
    </row>
  </sheetData>
  <mergeCells count="2">
    <mergeCell ref="A1:L1"/>
    <mergeCell ref="A3:C3"/>
  </mergeCells>
  <printOptions horizontalCentered="1" verticalCentered="1"/>
  <pageMargins left="0.4" right="0.4" top="0.25" bottom="0.25" header="0.31496062992126" footer="0.31496062992126"/>
  <pageSetup scale="65"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42"/>
  <sheetViews>
    <sheetView showGridLines="0" view="pageBreakPreview" zoomScale="70" zoomScaleNormal="100" zoomScaleSheetLayoutView="70" workbookViewId="0">
      <selection activeCell="O33" sqref="O33"/>
    </sheetView>
  </sheetViews>
  <sheetFormatPr baseColWidth="10" defaultColWidth="11.42578125" defaultRowHeight="15"/>
  <cols>
    <col min="1" max="1" width="12.7109375" style="77" customWidth="1"/>
    <col min="2" max="2" width="12.28515625" style="77" bestFit="1" customWidth="1"/>
    <col min="3" max="3" width="14.7109375" style="77" bestFit="1" customWidth="1"/>
    <col min="4" max="4" width="12.5703125" style="77" customWidth="1"/>
    <col min="5" max="5" width="17.5703125" style="77" customWidth="1"/>
    <col min="6" max="6" width="15.5703125" style="77" customWidth="1"/>
    <col min="7" max="7" width="22.42578125" style="77" customWidth="1"/>
    <col min="8" max="8" width="16.140625" style="77" customWidth="1"/>
    <col min="9" max="9" width="19.28515625" style="77" customWidth="1"/>
    <col min="10" max="10" width="16.28515625" style="77" customWidth="1"/>
    <col min="11" max="11" width="16" style="77" customWidth="1"/>
    <col min="12" max="12" width="16.42578125" style="77" customWidth="1"/>
    <col min="13" max="13" width="12.5703125" style="77" customWidth="1"/>
    <col min="14" max="14" width="22" style="77" customWidth="1"/>
    <col min="15" max="17" width="11.42578125" style="77"/>
    <col min="18" max="18" width="17" style="77" customWidth="1"/>
    <col min="19" max="16384" width="11.42578125" style="77"/>
  </cols>
  <sheetData>
    <row r="1" spans="1:15" ht="82.5" customHeight="1">
      <c r="A1" s="1873"/>
      <c r="B1" s="1873"/>
      <c r="C1" s="1873"/>
      <c r="D1" s="1873"/>
      <c r="E1" s="1873"/>
      <c r="F1" s="1873"/>
      <c r="G1" s="1873"/>
      <c r="H1" s="1873"/>
      <c r="I1" s="1873"/>
      <c r="J1" s="1873"/>
      <c r="K1" s="1873"/>
      <c r="L1" s="1873"/>
      <c r="M1" s="133"/>
      <c r="N1" s="133"/>
    </row>
    <row r="2" spans="1:15" ht="15" customHeight="1">
      <c r="A2" s="1887"/>
      <c r="B2" s="1888"/>
      <c r="C2" s="1888"/>
      <c r="D2" s="1888"/>
      <c r="E2" s="1888"/>
      <c r="F2" s="1888"/>
      <c r="G2" s="1888"/>
      <c r="H2" s="1888"/>
      <c r="I2" s="1888"/>
      <c r="J2" s="1888"/>
      <c r="K2" s="1888"/>
      <c r="L2" s="1888"/>
      <c r="M2" s="177"/>
      <c r="N2" s="177"/>
    </row>
    <row r="3" spans="1:15" s="141" customFormat="1" ht="42" customHeight="1">
      <c r="A3" s="448" t="s">
        <v>154</v>
      </c>
      <c r="B3" s="442" t="s">
        <v>101</v>
      </c>
      <c r="C3" s="443" t="s">
        <v>102</v>
      </c>
      <c r="D3" s="443" t="s">
        <v>92</v>
      </c>
      <c r="E3" s="443" t="s">
        <v>93</v>
      </c>
      <c r="F3" s="443" t="s">
        <v>94</v>
      </c>
      <c r="G3" s="442" t="s">
        <v>186</v>
      </c>
      <c r="H3" s="444" t="s">
        <v>155</v>
      </c>
      <c r="I3" s="444" t="s">
        <v>460</v>
      </c>
      <c r="J3" s="449" t="s">
        <v>23</v>
      </c>
      <c r="K3" s="172"/>
      <c r="L3" s="210"/>
      <c r="M3" s="171"/>
      <c r="N3" s="211"/>
    </row>
    <row r="4" spans="1:15" ht="18.75" customHeight="1">
      <c r="A4" s="447" t="s">
        <v>946</v>
      </c>
      <c r="B4" s="1785">
        <v>462494</v>
      </c>
      <c r="C4" s="1785">
        <v>211378</v>
      </c>
      <c r="D4" s="1785">
        <v>12355</v>
      </c>
      <c r="E4" s="1785">
        <v>446797</v>
      </c>
      <c r="F4" s="1785">
        <v>286315</v>
      </c>
      <c r="G4" s="1785">
        <v>86074</v>
      </c>
      <c r="H4" s="1785">
        <v>40862</v>
      </c>
      <c r="I4" s="1785">
        <v>7485</v>
      </c>
      <c r="J4" s="1786">
        <f>+B4+C4+D4+E4+F4+G4+H4+I4</f>
        <v>1553760</v>
      </c>
      <c r="L4" s="94"/>
      <c r="M4" s="171"/>
      <c r="N4" s="171"/>
    </row>
    <row r="5" spans="1:15" ht="17.25" customHeight="1">
      <c r="A5" s="445" t="s">
        <v>44</v>
      </c>
      <c r="B5" s="1787">
        <f>B4/$J$4</f>
        <v>0.29766115745031407</v>
      </c>
      <c r="C5" s="1787">
        <f t="shared" ref="C5:H5" si="0">C4/$J$4</f>
        <v>0.13604288950674492</v>
      </c>
      <c r="D5" s="1787">
        <f t="shared" si="0"/>
        <v>7.9516785089074251E-3</v>
      </c>
      <c r="E5" s="1787">
        <f t="shared" si="0"/>
        <v>0.28755856760374832</v>
      </c>
      <c r="F5" s="1787">
        <f t="shared" si="0"/>
        <v>0.18427234579343013</v>
      </c>
      <c r="G5" s="1787">
        <f t="shared" si="0"/>
        <v>5.5397229945422719E-2</v>
      </c>
      <c r="H5" s="1787">
        <f t="shared" si="0"/>
        <v>2.6298784883122234E-2</v>
      </c>
      <c r="I5" s="1787">
        <f>I4/$J$4</f>
        <v>4.817346308310164E-3</v>
      </c>
      <c r="J5" s="446">
        <f>SUM(B5:I5)</f>
        <v>1</v>
      </c>
      <c r="K5" s="94"/>
      <c r="L5" s="20"/>
      <c r="M5" s="18"/>
      <c r="N5" s="171"/>
    </row>
    <row r="6" spans="1:15">
      <c r="A6" s="97"/>
      <c r="B6" s="282"/>
      <c r="C6" s="282"/>
      <c r="D6" s="282"/>
      <c r="E6" s="281"/>
      <c r="F6" s="281"/>
      <c r="G6" s="282"/>
      <c r="H6" s="282"/>
      <c r="I6" s="97"/>
      <c r="J6" s="97"/>
      <c r="K6" s="94"/>
      <c r="L6" s="94"/>
      <c r="M6" s="182"/>
      <c r="N6" s="171"/>
    </row>
    <row r="7" spans="1:15">
      <c r="E7" s="9"/>
      <c r="F7" s="9"/>
      <c r="G7" s="94"/>
      <c r="H7" s="94"/>
      <c r="I7" s="94"/>
      <c r="J7" s="94"/>
      <c r="K7" s="94"/>
      <c r="L7" s="94"/>
      <c r="M7" s="94"/>
      <c r="N7" s="182"/>
    </row>
    <row r="8" spans="1:15">
      <c r="E8" s="9"/>
      <c r="F8" s="9"/>
      <c r="G8" s="94"/>
      <c r="H8" s="94"/>
      <c r="I8" s="94"/>
      <c r="J8" s="94"/>
      <c r="K8" s="94"/>
      <c r="L8" s="94"/>
      <c r="M8" s="94"/>
    </row>
    <row r="9" spans="1:15">
      <c r="E9" s="8"/>
      <c r="F9" s="9"/>
      <c r="G9" s="94"/>
      <c r="H9" s="94"/>
      <c r="I9" s="94"/>
      <c r="J9" s="94"/>
      <c r="K9" s="94"/>
      <c r="L9" s="94"/>
      <c r="M9" s="20"/>
      <c r="N9" s="212"/>
      <c r="O9" s="124"/>
    </row>
    <row r="10" spans="1:15">
      <c r="E10" s="8"/>
      <c r="F10" s="8"/>
      <c r="G10" s="94"/>
      <c r="H10" s="94"/>
      <c r="I10" s="94"/>
      <c r="J10" s="94"/>
      <c r="K10" s="94"/>
      <c r="L10" s="94"/>
      <c r="M10" s="20"/>
      <c r="N10" s="94"/>
      <c r="O10" s="18"/>
    </row>
    <row r="11" spans="1:15" ht="18.75">
      <c r="G11" s="2"/>
      <c r="H11" s="2"/>
      <c r="I11" s="4"/>
      <c r="J11" s="4"/>
      <c r="K11" s="1"/>
      <c r="L11" s="1"/>
      <c r="M11" s="1"/>
      <c r="N11" s="1"/>
    </row>
    <row r="12" spans="1:15">
      <c r="B12" s="1"/>
      <c r="C12" s="1"/>
      <c r="D12" s="1"/>
      <c r="E12" s="1"/>
      <c r="F12" s="1"/>
      <c r="G12" s="1"/>
      <c r="H12" s="1"/>
      <c r="I12" s="3"/>
      <c r="J12" s="3"/>
      <c r="K12" s="1"/>
      <c r="L12" s="1"/>
      <c r="M12" s="1"/>
      <c r="N12" s="1"/>
    </row>
    <row r="13" spans="1:15">
      <c r="B13" s="1"/>
      <c r="C13" s="1"/>
      <c r="D13" s="1"/>
      <c r="E13" s="1"/>
      <c r="F13" s="6"/>
      <c r="G13" s="1"/>
      <c r="H13" s="1"/>
      <c r="I13" s="1"/>
      <c r="J13" s="1"/>
      <c r="K13" s="1"/>
      <c r="L13" s="4"/>
      <c r="M13" s="4"/>
      <c r="N13" s="4"/>
      <c r="O13" s="18"/>
    </row>
    <row r="14" spans="1:15">
      <c r="B14" s="1"/>
      <c r="C14" s="1"/>
      <c r="D14" s="1"/>
      <c r="E14" s="1"/>
      <c r="F14" s="1"/>
      <c r="G14" s="1"/>
      <c r="H14" s="1"/>
      <c r="I14" s="1"/>
      <c r="J14" s="1"/>
      <c r="K14" s="1"/>
      <c r="L14" s="1"/>
      <c r="M14" s="1"/>
      <c r="N14" s="1"/>
    </row>
    <row r="15" spans="1:15">
      <c r="B15" s="1"/>
      <c r="C15" s="1"/>
      <c r="D15" s="1"/>
      <c r="E15" s="1"/>
      <c r="F15" s="1"/>
      <c r="G15" s="1"/>
      <c r="H15" s="1"/>
      <c r="I15" s="1"/>
      <c r="J15" s="1"/>
      <c r="K15" s="1"/>
      <c r="L15" s="1"/>
      <c r="M15" s="1"/>
      <c r="N15" s="1"/>
    </row>
    <row r="16" spans="1:15">
      <c r="B16" s="1"/>
      <c r="C16" s="1"/>
      <c r="D16" s="1"/>
      <c r="E16" s="1"/>
      <c r="F16" s="1"/>
      <c r="G16" s="1"/>
      <c r="H16" s="1"/>
      <c r="I16" s="1"/>
      <c r="J16" s="1"/>
      <c r="K16" s="1"/>
      <c r="L16" s="1"/>
      <c r="M16" s="1"/>
      <c r="N16" s="1"/>
    </row>
    <row r="17" spans="2:14">
      <c r="B17" s="1"/>
      <c r="C17" s="1"/>
      <c r="D17" s="1"/>
      <c r="E17" s="1"/>
      <c r="F17" s="1"/>
      <c r="G17" s="1"/>
      <c r="H17" s="1"/>
      <c r="I17" s="1"/>
      <c r="J17" s="1"/>
      <c r="K17" s="1"/>
      <c r="L17" s="1"/>
      <c r="M17" s="1"/>
      <c r="N17" s="1"/>
    </row>
    <row r="18" spans="2:14">
      <c r="B18" s="1"/>
      <c r="C18" s="1"/>
      <c r="D18" s="1"/>
      <c r="E18" s="1"/>
      <c r="F18" s="1"/>
      <c r="G18" s="1"/>
      <c r="H18" s="1"/>
      <c r="I18" s="1"/>
      <c r="J18" s="1"/>
      <c r="K18" s="1"/>
      <c r="L18" s="1"/>
      <c r="M18" s="1"/>
      <c r="N18" s="1"/>
    </row>
    <row r="19" spans="2:14">
      <c r="B19" s="1"/>
      <c r="C19" s="1"/>
      <c r="D19" s="1"/>
      <c r="E19" s="1"/>
      <c r="F19" s="1"/>
      <c r="G19" s="1"/>
      <c r="H19" s="1"/>
      <c r="I19" s="1"/>
      <c r="J19" s="1"/>
      <c r="K19" s="1"/>
      <c r="L19" s="1"/>
      <c r="M19" s="1"/>
      <c r="N19" s="1"/>
    </row>
    <row r="20" spans="2:14">
      <c r="B20" s="1"/>
      <c r="C20" s="1"/>
      <c r="D20" s="1"/>
      <c r="E20" s="1"/>
      <c r="F20" s="1"/>
      <c r="G20" s="1"/>
      <c r="H20" s="1"/>
      <c r="I20" s="1"/>
      <c r="J20" s="1"/>
      <c r="K20" s="1"/>
      <c r="L20" s="1"/>
      <c r="M20" s="1"/>
      <c r="N20" s="1"/>
    </row>
    <row r="21" spans="2:14">
      <c r="B21" s="1"/>
      <c r="C21" s="1"/>
      <c r="D21" s="1"/>
      <c r="E21" s="1"/>
      <c r="F21" s="1"/>
      <c r="G21" s="1"/>
      <c r="H21" s="1"/>
      <c r="I21" s="1"/>
      <c r="J21" s="1"/>
      <c r="K21" s="1"/>
      <c r="L21" s="1"/>
      <c r="M21" s="1"/>
      <c r="N21" s="1"/>
    </row>
    <row r="22" spans="2:14">
      <c r="B22" s="1"/>
      <c r="C22" s="1"/>
      <c r="D22" s="1"/>
      <c r="E22" s="1"/>
      <c r="F22" s="1"/>
      <c r="G22" s="1"/>
      <c r="H22" s="1"/>
      <c r="I22" s="1"/>
      <c r="J22" s="1"/>
      <c r="K22" s="1"/>
      <c r="L22" s="1"/>
      <c r="M22" s="1"/>
      <c r="N22" s="1"/>
    </row>
    <row r="23" spans="2:14">
      <c r="B23" s="1"/>
      <c r="C23" s="1"/>
      <c r="D23" s="1"/>
      <c r="E23" s="1"/>
      <c r="F23" s="1"/>
      <c r="G23" s="1"/>
      <c r="H23" s="1"/>
      <c r="I23" s="1"/>
      <c r="J23" s="1"/>
      <c r="K23" s="1"/>
      <c r="L23" s="1"/>
      <c r="M23" s="1"/>
      <c r="N23" s="1"/>
    </row>
    <row r="24" spans="2:14">
      <c r="B24" s="1"/>
      <c r="C24" s="1"/>
      <c r="D24" s="1"/>
      <c r="E24" s="1"/>
      <c r="F24" s="1"/>
      <c r="G24" s="1"/>
      <c r="H24" s="1"/>
      <c r="I24" s="1"/>
      <c r="J24" s="1"/>
      <c r="K24" s="1"/>
      <c r="L24" s="1"/>
      <c r="M24" s="1"/>
      <c r="N24" s="1"/>
    </row>
    <row r="25" spans="2:14" ht="18.75">
      <c r="B25" s="1"/>
      <c r="C25" s="1"/>
      <c r="D25" s="1"/>
      <c r="E25" s="1"/>
      <c r="F25" s="1"/>
      <c r="G25" s="1"/>
      <c r="H25" s="1"/>
      <c r="I25" s="1"/>
      <c r="J25" s="1"/>
      <c r="K25" s="1"/>
      <c r="L25" s="1"/>
      <c r="M25" s="1197"/>
      <c r="N25" s="1"/>
    </row>
    <row r="26" spans="2:14">
      <c r="B26" s="1"/>
      <c r="C26" s="1"/>
      <c r="D26" s="1"/>
      <c r="E26" s="1"/>
      <c r="F26" s="1"/>
      <c r="G26" s="1"/>
      <c r="H26" s="1"/>
      <c r="I26" s="1"/>
      <c r="J26" s="1"/>
      <c r="K26" s="1"/>
      <c r="L26" s="1"/>
      <c r="M26" s="1"/>
      <c r="N26" s="1"/>
    </row>
    <row r="27" spans="2:14">
      <c r="B27" s="1"/>
      <c r="C27" s="1"/>
      <c r="D27" s="1"/>
      <c r="E27" s="1"/>
      <c r="F27" s="1"/>
      <c r="G27" s="1"/>
      <c r="H27" s="1"/>
      <c r="I27" s="1"/>
      <c r="J27" s="1"/>
      <c r="K27" s="1"/>
      <c r="L27" s="1"/>
      <c r="M27" s="1"/>
      <c r="N27" s="1"/>
    </row>
    <row r="28" spans="2:14">
      <c r="B28" s="1"/>
      <c r="C28" s="1"/>
      <c r="D28" s="1"/>
      <c r="E28" s="1"/>
      <c r="F28" s="1"/>
      <c r="G28" s="1"/>
      <c r="H28" s="1"/>
      <c r="I28" s="1"/>
      <c r="J28" s="1"/>
      <c r="K28" s="1"/>
      <c r="L28" s="1"/>
      <c r="M28" s="1"/>
      <c r="N28" s="1"/>
    </row>
    <row r="29" spans="2:14">
      <c r="B29" s="1"/>
      <c r="C29" s="1"/>
      <c r="D29" s="1"/>
      <c r="E29" s="1"/>
      <c r="F29" s="1"/>
      <c r="G29" s="1"/>
      <c r="H29" s="1"/>
      <c r="I29" s="1"/>
      <c r="J29" s="1"/>
      <c r="K29" s="1"/>
      <c r="L29" s="1"/>
      <c r="M29" s="1"/>
      <c r="N29" s="1"/>
    </row>
    <row r="30" spans="2:14">
      <c r="B30" s="1"/>
      <c r="C30" s="1"/>
      <c r="D30" s="1"/>
      <c r="E30" s="1"/>
      <c r="F30" s="1"/>
      <c r="G30" s="1"/>
      <c r="H30" s="1"/>
      <c r="I30" s="1"/>
      <c r="J30" s="1"/>
      <c r="K30" s="1"/>
      <c r="L30" s="1"/>
      <c r="M30" s="1"/>
      <c r="N30" s="1"/>
    </row>
    <row r="31" spans="2:14">
      <c r="B31" s="1"/>
      <c r="C31" s="1"/>
      <c r="D31" s="1"/>
      <c r="E31" s="1"/>
      <c r="F31" s="1"/>
      <c r="G31" s="1"/>
      <c r="H31" s="1"/>
      <c r="I31" s="1"/>
      <c r="J31" s="1"/>
      <c r="K31" s="1"/>
      <c r="L31" s="1"/>
      <c r="M31" s="1"/>
      <c r="N31" s="1"/>
    </row>
    <row r="32" spans="2:14">
      <c r="B32" s="1"/>
      <c r="C32" s="1"/>
      <c r="D32" s="1"/>
      <c r="E32" s="1"/>
      <c r="F32" s="1"/>
      <c r="G32" s="1"/>
      <c r="H32" s="1"/>
      <c r="I32" s="1"/>
      <c r="J32" s="1"/>
      <c r="K32" s="1"/>
      <c r="L32" s="1"/>
      <c r="M32" s="1"/>
      <c r="N32" s="1"/>
    </row>
    <row r="33" spans="2:14">
      <c r="B33" s="1"/>
      <c r="C33" s="1"/>
      <c r="D33" s="1"/>
      <c r="E33" s="1"/>
      <c r="F33" s="1"/>
      <c r="G33" s="1"/>
      <c r="H33" s="1"/>
      <c r="I33" s="1"/>
      <c r="J33" s="1"/>
      <c r="K33" s="1"/>
      <c r="L33" s="1"/>
      <c r="M33" s="1"/>
      <c r="N33" s="1"/>
    </row>
    <row r="34" spans="2:14">
      <c r="B34" s="1"/>
      <c r="C34" s="1"/>
      <c r="D34" s="1"/>
      <c r="E34" s="1"/>
      <c r="F34" s="1"/>
      <c r="G34" s="1"/>
      <c r="H34" s="1"/>
      <c r="I34" s="1"/>
      <c r="J34" s="1"/>
      <c r="K34" s="1"/>
      <c r="L34" s="1"/>
      <c r="M34" s="1"/>
      <c r="N34" s="1"/>
    </row>
    <row r="35" spans="2:14">
      <c r="B35" s="1"/>
      <c r="C35" s="1"/>
      <c r="D35" s="1"/>
      <c r="E35" s="1"/>
      <c r="F35" s="1"/>
      <c r="G35" s="1"/>
      <c r="H35" s="1"/>
      <c r="I35" s="1"/>
      <c r="J35" s="1"/>
      <c r="K35" s="1"/>
      <c r="L35" s="1"/>
      <c r="M35" s="1"/>
      <c r="N35" s="1"/>
    </row>
    <row r="36" spans="2:14">
      <c r="B36" s="1"/>
      <c r="C36" s="1"/>
      <c r="D36" s="1"/>
      <c r="E36" s="1"/>
      <c r="F36" s="1"/>
      <c r="G36" s="1"/>
      <c r="H36" s="1"/>
      <c r="I36" s="1"/>
      <c r="J36" s="1"/>
      <c r="K36" s="1"/>
      <c r="L36" s="1"/>
      <c r="M36" s="1"/>
      <c r="N36" s="1"/>
    </row>
    <row r="37" spans="2:14">
      <c r="B37" s="1"/>
      <c r="C37" s="1"/>
      <c r="D37" s="1"/>
      <c r="E37" s="1"/>
      <c r="F37" s="1"/>
      <c r="G37" s="1"/>
      <c r="H37" s="1"/>
      <c r="I37" s="1"/>
      <c r="J37" s="1"/>
      <c r="K37" s="1"/>
      <c r="L37" s="1"/>
      <c r="M37" s="1"/>
      <c r="N37" s="1"/>
    </row>
    <row r="38" spans="2:14">
      <c r="B38" s="1"/>
      <c r="C38" s="1"/>
      <c r="D38" s="1"/>
      <c r="E38" s="1"/>
      <c r="F38" s="1"/>
      <c r="G38" s="1"/>
      <c r="H38" s="1"/>
      <c r="I38" s="1"/>
      <c r="J38" s="1"/>
      <c r="K38" s="1"/>
      <c r="L38" s="1"/>
      <c r="M38" s="1"/>
      <c r="N38" s="1"/>
    </row>
    <row r="39" spans="2:14">
      <c r="B39" s="1"/>
      <c r="C39" s="1"/>
      <c r="D39" s="1"/>
      <c r="E39" s="1"/>
      <c r="F39" s="1"/>
      <c r="G39" s="1"/>
      <c r="H39" s="1"/>
      <c r="I39" s="1"/>
      <c r="J39" s="1"/>
      <c r="K39" s="1"/>
      <c r="L39" s="1"/>
      <c r="M39" s="1"/>
      <c r="N39" s="1"/>
    </row>
    <row r="40" spans="2:14">
      <c r="B40" s="1"/>
      <c r="C40" s="1"/>
      <c r="D40" s="1"/>
      <c r="E40" s="1"/>
      <c r="F40" s="1"/>
      <c r="G40" s="1"/>
      <c r="H40" s="1"/>
      <c r="I40" s="1"/>
      <c r="J40" s="1"/>
      <c r="K40" s="1"/>
      <c r="L40" s="1"/>
      <c r="M40" s="1"/>
      <c r="N40" s="1"/>
    </row>
    <row r="41" spans="2:14">
      <c r="B41" s="1"/>
      <c r="C41" s="1"/>
      <c r="D41" s="1"/>
      <c r="E41" s="1"/>
      <c r="F41" s="1"/>
      <c r="G41" s="1"/>
      <c r="H41" s="1"/>
      <c r="I41" s="1"/>
      <c r="J41" s="1"/>
      <c r="K41" s="1"/>
      <c r="L41" s="1"/>
      <c r="M41" s="1"/>
      <c r="N41" s="1"/>
    </row>
    <row r="42" spans="2:14">
      <c r="B42" s="1"/>
      <c r="C42" s="1"/>
      <c r="D42" s="1"/>
      <c r="E42" s="1"/>
      <c r="F42" s="1"/>
      <c r="G42" s="1"/>
      <c r="H42" s="1"/>
      <c r="I42" s="1"/>
      <c r="J42" s="1"/>
      <c r="K42" s="1"/>
      <c r="L42" s="1"/>
      <c r="M42" s="1"/>
      <c r="N42" s="1"/>
    </row>
  </sheetData>
  <mergeCells count="2">
    <mergeCell ref="A1:L1"/>
    <mergeCell ref="A2:L2"/>
  </mergeCells>
  <printOptions horizontalCentered="1" verticalCentered="1"/>
  <pageMargins left="0.4" right="0.4" top="0.25" bottom="0.25" header="0.31496062992126" footer="0.31496062992126"/>
  <pageSetup scale="6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25"/>
  <sheetViews>
    <sheetView showGridLines="0" view="pageBreakPreview" zoomScale="85" zoomScaleNormal="100" zoomScaleSheetLayoutView="85" workbookViewId="0">
      <pane ySplit="1" topLeftCell="A2" activePane="bottomLeft" state="frozen"/>
      <selection pane="bottomLeft" activeCell="O9" sqref="O9:P21"/>
    </sheetView>
  </sheetViews>
  <sheetFormatPr baseColWidth="10" defaultColWidth="11.42578125" defaultRowHeight="11.25"/>
  <cols>
    <col min="1" max="1" width="8.42578125" style="216" customWidth="1"/>
    <col min="2" max="2" width="12.85546875" style="216" customWidth="1"/>
    <col min="3" max="3" width="10.28515625" style="216" customWidth="1"/>
    <col min="4" max="4" width="8.85546875" style="216" customWidth="1"/>
    <col min="5" max="5" width="8.7109375" style="216" customWidth="1"/>
    <col min="6" max="6" width="8.85546875" style="216" customWidth="1"/>
    <col min="7" max="7" width="11.140625" style="216" customWidth="1"/>
    <col min="8" max="8" width="8.42578125" style="216" customWidth="1"/>
    <col min="9" max="9" width="9.5703125" style="216" customWidth="1"/>
    <col min="10" max="10" width="8.7109375" style="216" customWidth="1"/>
    <col min="11" max="11" width="8.5703125" style="216" customWidth="1"/>
    <col min="12" max="12" width="9.140625" style="216" customWidth="1"/>
    <col min="13" max="13" width="10.28515625" style="216" customWidth="1"/>
    <col min="14" max="14" width="11.42578125" style="216"/>
    <col min="15" max="15" width="13.5703125" style="216" bestFit="1" customWidth="1"/>
    <col min="16" max="16384" width="11.42578125" style="216"/>
  </cols>
  <sheetData>
    <row r="1" spans="1:15" ht="66" customHeight="1">
      <c r="A1" s="1889"/>
      <c r="B1" s="1889"/>
      <c r="C1" s="1889"/>
      <c r="D1" s="1889"/>
      <c r="E1" s="1889"/>
      <c r="F1" s="1889"/>
      <c r="G1" s="1889"/>
      <c r="H1" s="1889"/>
      <c r="I1" s="1889"/>
      <c r="J1" s="1889"/>
      <c r="K1" s="1889"/>
      <c r="L1" s="1889"/>
      <c r="M1" s="1889"/>
      <c r="N1" s="1889"/>
    </row>
    <row r="2" spans="1:15" ht="3" customHeight="1"/>
    <row r="3" spans="1:15" ht="49.5" customHeight="1">
      <c r="A3" s="451" t="s">
        <v>25</v>
      </c>
      <c r="B3" s="458" t="s">
        <v>483</v>
      </c>
      <c r="C3" s="458" t="s">
        <v>474</v>
      </c>
      <c r="D3" s="458" t="s">
        <v>475</v>
      </c>
      <c r="E3" s="458" t="s">
        <v>476</v>
      </c>
      <c r="F3" s="458" t="s">
        <v>477</v>
      </c>
      <c r="G3" s="471" t="s">
        <v>478</v>
      </c>
      <c r="H3" s="471" t="s">
        <v>479</v>
      </c>
      <c r="I3" s="458" t="s">
        <v>480</v>
      </c>
      <c r="J3" s="458" t="s">
        <v>481</v>
      </c>
      <c r="K3" s="458" t="s">
        <v>482</v>
      </c>
      <c r="L3" s="458" t="s">
        <v>602</v>
      </c>
      <c r="M3" s="459" t="s">
        <v>603</v>
      </c>
    </row>
    <row r="4" spans="1:15" hidden="1">
      <c r="A4" s="460">
        <v>2003</v>
      </c>
      <c r="B4" s="452">
        <f>SUM(C4:D4)</f>
        <v>3693897</v>
      </c>
      <c r="C4" s="453">
        <v>2273368</v>
      </c>
      <c r="D4" s="453">
        <v>1420529</v>
      </c>
      <c r="E4" s="454">
        <f>C4/B4</f>
        <v>0.61543892534090694</v>
      </c>
      <c r="F4" s="454">
        <f>D4/B4</f>
        <v>0.38456107465909312</v>
      </c>
      <c r="G4" s="472">
        <v>576869</v>
      </c>
      <c r="H4" s="473">
        <v>350832</v>
      </c>
      <c r="I4" s="455">
        <v>226037</v>
      </c>
      <c r="J4" s="456">
        <f>H4/G4</f>
        <v>0.60816580540816023</v>
      </c>
      <c r="K4" s="456">
        <f>I4/G4</f>
        <v>0.39183419459183977</v>
      </c>
      <c r="L4" s="457">
        <f>H4/C4</f>
        <v>0.15432257338011268</v>
      </c>
      <c r="M4" s="463">
        <f>I4/D4</f>
        <v>0.15912170747658091</v>
      </c>
    </row>
    <row r="5" spans="1:15" hidden="1">
      <c r="A5" s="460">
        <v>2004</v>
      </c>
      <c r="B5" s="452">
        <f t="shared" ref="B5:B11" si="0">SUM(C5:D5)</f>
        <v>3830703</v>
      </c>
      <c r="C5" s="453">
        <v>2363072</v>
      </c>
      <c r="D5" s="453">
        <v>1467631</v>
      </c>
      <c r="E5" s="454">
        <f t="shared" ref="E5:E13" si="1">C5/B5</f>
        <v>0.61687685001943504</v>
      </c>
      <c r="F5" s="454">
        <f t="shared" ref="F5:F13" si="2">D5/B5</f>
        <v>0.3831231499805649</v>
      </c>
      <c r="G5" s="472">
        <v>593286</v>
      </c>
      <c r="H5" s="473">
        <v>356770</v>
      </c>
      <c r="I5" s="455">
        <v>236516</v>
      </c>
      <c r="J5" s="456">
        <f t="shared" ref="J5:J13" si="3">H5/G5</f>
        <v>0.60134572533314457</v>
      </c>
      <c r="K5" s="456">
        <f t="shared" ref="K5:K13" si="4">I5/G5</f>
        <v>0.39865427466685543</v>
      </c>
      <c r="L5" s="457">
        <f t="shared" ref="L5:M13" si="5">H5/C5</f>
        <v>0.15097720255667199</v>
      </c>
      <c r="M5" s="463">
        <f t="shared" si="5"/>
        <v>0.16115494971147379</v>
      </c>
    </row>
    <row r="6" spans="1:15">
      <c r="A6" s="460">
        <v>2005</v>
      </c>
      <c r="B6" s="452">
        <f t="shared" si="0"/>
        <v>3992338</v>
      </c>
      <c r="C6" s="453">
        <v>2426609</v>
      </c>
      <c r="D6" s="453">
        <v>1565729</v>
      </c>
      <c r="E6" s="454">
        <f t="shared" si="1"/>
        <v>0.60781652254894247</v>
      </c>
      <c r="F6" s="454">
        <f t="shared" si="2"/>
        <v>0.39218347745105753</v>
      </c>
      <c r="G6" s="472">
        <v>626615</v>
      </c>
      <c r="H6" s="473">
        <v>386054</v>
      </c>
      <c r="I6" s="455">
        <v>240561</v>
      </c>
      <c r="J6" s="456">
        <f t="shared" si="3"/>
        <v>0.6160944120392905</v>
      </c>
      <c r="K6" s="456">
        <f t="shared" si="4"/>
        <v>0.3839055879607095</v>
      </c>
      <c r="L6" s="457">
        <f t="shared" si="5"/>
        <v>0.15909196743274256</v>
      </c>
      <c r="M6" s="463">
        <f t="shared" si="5"/>
        <v>0.1536415305586088</v>
      </c>
    </row>
    <row r="7" spans="1:15">
      <c r="A7" s="460">
        <v>2006</v>
      </c>
      <c r="B7" s="452">
        <f t="shared" si="0"/>
        <v>4073427</v>
      </c>
      <c r="C7" s="453">
        <v>2470897</v>
      </c>
      <c r="D7" s="453">
        <v>1602530</v>
      </c>
      <c r="E7" s="454">
        <f t="shared" si="1"/>
        <v>0.60658924291511795</v>
      </c>
      <c r="F7" s="454">
        <f t="shared" si="2"/>
        <v>0.3934107570848821</v>
      </c>
      <c r="G7" s="472">
        <v>808496</v>
      </c>
      <c r="H7" s="473">
        <v>486327</v>
      </c>
      <c r="I7" s="455">
        <v>322169</v>
      </c>
      <c r="J7" s="456">
        <f t="shared" si="3"/>
        <v>0.60152060121509565</v>
      </c>
      <c r="K7" s="456">
        <f t="shared" si="4"/>
        <v>0.39847939878490429</v>
      </c>
      <c r="L7" s="457">
        <f t="shared" si="5"/>
        <v>0.19682204478778353</v>
      </c>
      <c r="M7" s="463">
        <f t="shared" si="5"/>
        <v>0.20103773408298128</v>
      </c>
    </row>
    <row r="8" spans="1:15">
      <c r="A8" s="460">
        <v>2007</v>
      </c>
      <c r="B8" s="452">
        <f t="shared" si="0"/>
        <v>4176861</v>
      </c>
      <c r="C8" s="453">
        <v>2565530</v>
      </c>
      <c r="D8" s="453">
        <v>1611331</v>
      </c>
      <c r="E8" s="454">
        <f t="shared" si="1"/>
        <v>0.61422441397978056</v>
      </c>
      <c r="F8" s="454">
        <f t="shared" si="2"/>
        <v>0.3857755860202195</v>
      </c>
      <c r="G8" s="472">
        <v>913203</v>
      </c>
      <c r="H8" s="473">
        <v>549737</v>
      </c>
      <c r="I8" s="455">
        <v>363466</v>
      </c>
      <c r="J8" s="456">
        <f t="shared" si="3"/>
        <v>0.60198772890584018</v>
      </c>
      <c r="K8" s="456">
        <f t="shared" si="4"/>
        <v>0.39801227109415976</v>
      </c>
      <c r="L8" s="457">
        <f t="shared" si="5"/>
        <v>0.2142781413587056</v>
      </c>
      <c r="M8" s="463">
        <f t="shared" si="5"/>
        <v>0.22556879995481996</v>
      </c>
    </row>
    <row r="9" spans="1:15">
      <c r="A9" s="460">
        <v>2008</v>
      </c>
      <c r="B9" s="452">
        <f t="shared" si="0"/>
        <v>4246171</v>
      </c>
      <c r="C9" s="453">
        <v>2547846</v>
      </c>
      <c r="D9" s="453">
        <v>1698325</v>
      </c>
      <c r="E9" s="454">
        <f t="shared" si="1"/>
        <v>0.60003377160269811</v>
      </c>
      <c r="F9" s="454">
        <f t="shared" si="2"/>
        <v>0.39996622839730195</v>
      </c>
      <c r="G9" s="472">
        <v>929743</v>
      </c>
      <c r="H9" s="473">
        <v>552570</v>
      </c>
      <c r="I9" s="455">
        <v>377173</v>
      </c>
      <c r="J9" s="456">
        <f t="shared" si="3"/>
        <v>0.59432552866759958</v>
      </c>
      <c r="K9" s="456">
        <f t="shared" si="4"/>
        <v>0.40567447133240048</v>
      </c>
      <c r="L9" s="457">
        <f t="shared" si="5"/>
        <v>0.21687731519094952</v>
      </c>
      <c r="M9" s="463">
        <f t="shared" si="5"/>
        <v>0.22208528991800744</v>
      </c>
    </row>
    <row r="10" spans="1:15">
      <c r="A10" s="460">
        <v>2009</v>
      </c>
      <c r="B10" s="452">
        <f t="shared" si="0"/>
        <v>4201485</v>
      </c>
      <c r="C10" s="453">
        <v>2624690</v>
      </c>
      <c r="D10" s="453">
        <v>1576795</v>
      </c>
      <c r="E10" s="454">
        <f t="shared" si="1"/>
        <v>0.62470531252640438</v>
      </c>
      <c r="F10" s="454">
        <f t="shared" si="2"/>
        <v>0.37529468747359562</v>
      </c>
      <c r="G10" s="472">
        <v>1118293</v>
      </c>
      <c r="H10" s="473">
        <v>634008</v>
      </c>
      <c r="I10" s="455">
        <v>484285</v>
      </c>
      <c r="J10" s="456">
        <f t="shared" si="3"/>
        <v>0.56694265277525657</v>
      </c>
      <c r="K10" s="456">
        <f t="shared" si="4"/>
        <v>0.43305734722474343</v>
      </c>
      <c r="L10" s="457">
        <f t="shared" si="5"/>
        <v>0.24155538368340643</v>
      </c>
      <c r="M10" s="463">
        <f t="shared" si="5"/>
        <v>0.30713250612793674</v>
      </c>
    </row>
    <row r="11" spans="1:15">
      <c r="A11" s="460">
        <v>2010</v>
      </c>
      <c r="B11" s="452">
        <f t="shared" si="0"/>
        <v>4368912</v>
      </c>
      <c r="C11" s="453">
        <v>2686681</v>
      </c>
      <c r="D11" s="453">
        <v>1682231</v>
      </c>
      <c r="E11" s="454">
        <f t="shared" si="1"/>
        <v>0.61495424947904653</v>
      </c>
      <c r="F11" s="454">
        <f t="shared" si="2"/>
        <v>0.38504575052095352</v>
      </c>
      <c r="G11" s="472">
        <v>1189601</v>
      </c>
      <c r="H11" s="473">
        <v>675015</v>
      </c>
      <c r="I11" s="455">
        <v>514586</v>
      </c>
      <c r="J11" s="456">
        <f t="shared" si="3"/>
        <v>0.56742975165622755</v>
      </c>
      <c r="K11" s="456">
        <f t="shared" si="4"/>
        <v>0.43257024834377239</v>
      </c>
      <c r="L11" s="457">
        <f t="shared" si="5"/>
        <v>0.25124493752700822</v>
      </c>
      <c r="M11" s="463">
        <f t="shared" si="5"/>
        <v>0.305894969240253</v>
      </c>
    </row>
    <row r="12" spans="1:15">
      <c r="A12" s="461">
        <v>2011</v>
      </c>
      <c r="B12" s="452">
        <f>SUM(C12:D12)</f>
        <v>4601758</v>
      </c>
      <c r="C12" s="453">
        <v>2782416</v>
      </c>
      <c r="D12" s="453">
        <v>1819342</v>
      </c>
      <c r="E12" s="454">
        <f t="shared" si="1"/>
        <v>0.60464196509247115</v>
      </c>
      <c r="F12" s="454">
        <f t="shared" si="2"/>
        <v>0.3953580349075288</v>
      </c>
      <c r="G12" s="472">
        <f>+H12+I12</f>
        <v>1242780</v>
      </c>
      <c r="H12" s="473">
        <v>702422</v>
      </c>
      <c r="I12" s="455">
        <v>540358</v>
      </c>
      <c r="J12" s="456">
        <f t="shared" si="3"/>
        <v>0.56520220795313736</v>
      </c>
      <c r="K12" s="456">
        <f t="shared" si="4"/>
        <v>0.4347977920468627</v>
      </c>
      <c r="L12" s="457">
        <f t="shared" si="5"/>
        <v>0.25245038843939943</v>
      </c>
      <c r="M12" s="463">
        <f t="shared" si="5"/>
        <v>0.29700737959108292</v>
      </c>
    </row>
    <row r="13" spans="1:15">
      <c r="A13" s="461">
        <v>2012</v>
      </c>
      <c r="B13" s="452">
        <f>SUM(C13:D13)</f>
        <v>4689622</v>
      </c>
      <c r="C13" s="453">
        <v>2791393</v>
      </c>
      <c r="D13" s="453">
        <v>1898229</v>
      </c>
      <c r="E13" s="454">
        <f t="shared" si="1"/>
        <v>0.59522771771370908</v>
      </c>
      <c r="F13" s="454">
        <f t="shared" si="2"/>
        <v>0.40477228228629086</v>
      </c>
      <c r="G13" s="472">
        <f>+H13+I13</f>
        <v>1291137</v>
      </c>
      <c r="H13" s="473">
        <v>726141</v>
      </c>
      <c r="I13" s="455">
        <v>564996</v>
      </c>
      <c r="J13" s="456">
        <f t="shared" si="3"/>
        <v>0.56240429946628434</v>
      </c>
      <c r="K13" s="456">
        <f t="shared" si="4"/>
        <v>0.43759570053371566</v>
      </c>
      <c r="L13" s="457">
        <f t="shared" si="5"/>
        <v>0.26013571002005093</v>
      </c>
      <c r="M13" s="463">
        <f t="shared" si="5"/>
        <v>0.29764375109641672</v>
      </c>
      <c r="O13" s="1328"/>
    </row>
    <row r="14" spans="1:15">
      <c r="A14" s="461">
        <v>2013</v>
      </c>
      <c r="B14" s="452">
        <f>SUM(C14:D14)</f>
        <v>4728655</v>
      </c>
      <c r="C14" s="453">
        <v>2845650</v>
      </c>
      <c r="D14" s="453">
        <v>1883005</v>
      </c>
      <c r="E14" s="454">
        <f>C14/B14</f>
        <v>0.60178845781728629</v>
      </c>
      <c r="F14" s="454">
        <f>D14/B14</f>
        <v>0.39821154218271371</v>
      </c>
      <c r="G14" s="472">
        <f>+H14+I14</f>
        <v>1376966</v>
      </c>
      <c r="H14" s="473">
        <v>770060</v>
      </c>
      <c r="I14" s="455">
        <v>606906</v>
      </c>
      <c r="J14" s="456">
        <f>H14/G14</f>
        <v>0.55924401909705834</v>
      </c>
      <c r="K14" s="456">
        <f>I14/G14</f>
        <v>0.44075598090294166</v>
      </c>
      <c r="L14" s="457">
        <f>H14/C14</f>
        <v>0.27060952682164002</v>
      </c>
      <c r="M14" s="463">
        <f>I14/D14</f>
        <v>0.3223071632842186</v>
      </c>
      <c r="N14" s="450"/>
      <c r="O14" s="1328"/>
    </row>
    <row r="15" spans="1:15">
      <c r="A15" s="461">
        <v>2014</v>
      </c>
      <c r="B15" s="452">
        <v>4486359</v>
      </c>
      <c r="C15" s="453">
        <v>2802258</v>
      </c>
      <c r="D15" s="453">
        <v>1684101</v>
      </c>
      <c r="E15" s="454">
        <v>0.6246174236167904</v>
      </c>
      <c r="F15" s="454">
        <v>0.37538257638320965</v>
      </c>
      <c r="G15" s="472">
        <v>1508392</v>
      </c>
      <c r="H15" s="473">
        <v>835620</v>
      </c>
      <c r="I15" s="455">
        <v>672772</v>
      </c>
      <c r="J15" s="456">
        <v>0.55398066285156644</v>
      </c>
      <c r="K15" s="456">
        <v>0.44601933714843356</v>
      </c>
      <c r="L15" s="457">
        <v>0.29819524112340834</v>
      </c>
      <c r="M15" s="463">
        <v>0.39948435396689391</v>
      </c>
      <c r="N15" s="450"/>
      <c r="O15" s="1328"/>
    </row>
    <row r="16" spans="1:15">
      <c r="A16" s="462" t="s">
        <v>958</v>
      </c>
      <c r="B16" s="464">
        <f>SUM(C16:D16)</f>
        <v>4486359</v>
      </c>
      <c r="C16" s="465">
        <v>2802258</v>
      </c>
      <c r="D16" s="465">
        <v>1684101</v>
      </c>
      <c r="E16" s="466">
        <f>C16/B16</f>
        <v>0.6246174236167904</v>
      </c>
      <c r="F16" s="466">
        <f>D16/B16</f>
        <v>0.37538257638320965</v>
      </c>
      <c r="G16" s="474">
        <f>+H16+I16</f>
        <v>1553760</v>
      </c>
      <c r="H16" s="475">
        <v>859633</v>
      </c>
      <c r="I16" s="467">
        <v>694127</v>
      </c>
      <c r="J16" s="468">
        <f>H16/G16</f>
        <v>0.55325983420862934</v>
      </c>
      <c r="K16" s="468">
        <f>I16/G16</f>
        <v>0.4467401657913706</v>
      </c>
      <c r="L16" s="469">
        <f>H16/C16</f>
        <v>0.30676440213570627</v>
      </c>
      <c r="M16" s="470">
        <f>I16/D16</f>
        <v>0.41216470983628656</v>
      </c>
      <c r="N16" s="450"/>
      <c r="O16" s="1328"/>
    </row>
    <row r="17" spans="1:15">
      <c r="A17" s="216" t="s">
        <v>769</v>
      </c>
      <c r="O17" s="1328"/>
    </row>
    <row r="18" spans="1:15">
      <c r="O18" s="1328"/>
    </row>
    <row r="19" spans="1:15">
      <c r="N19" s="216" t="s">
        <v>219</v>
      </c>
    </row>
    <row r="25" spans="1:15">
      <c r="A25" s="217"/>
      <c r="B25" s="217">
        <f>AVERAGE(F4:F12)</f>
        <v>0.38830208294391078</v>
      </c>
    </row>
  </sheetData>
  <mergeCells count="1">
    <mergeCell ref="A1:N1"/>
  </mergeCells>
  <pageMargins left="0.7" right="0.7" top="0.75" bottom="0.75" header="0.3" footer="0.3"/>
  <pageSetup scale="85"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41"/>
  <sheetViews>
    <sheetView showGridLines="0" view="pageBreakPreview" topLeftCell="D1" zoomScale="70" zoomScaleNormal="70" zoomScaleSheetLayoutView="70" workbookViewId="0">
      <pane ySplit="1" topLeftCell="A2" activePane="bottomLeft" state="frozen"/>
      <selection pane="bottomLeft" activeCell="R44" sqref="R44"/>
    </sheetView>
  </sheetViews>
  <sheetFormatPr baseColWidth="10" defaultColWidth="11.42578125" defaultRowHeight="15"/>
  <cols>
    <col min="1" max="1" width="11.42578125" style="77"/>
    <col min="2" max="2" width="13.28515625" style="77" customWidth="1"/>
    <col min="3" max="3" width="12.42578125" style="77" customWidth="1"/>
    <col min="4" max="4" width="17.7109375" style="77" customWidth="1"/>
    <col min="5" max="5" width="12.5703125" style="77" customWidth="1"/>
    <col min="6" max="6" width="18" style="77" customWidth="1"/>
    <col min="7" max="7" width="14.140625" style="77" customWidth="1"/>
    <col min="8" max="8" width="11.42578125" style="77"/>
    <col min="9" max="9" width="20.42578125" style="77" customWidth="1"/>
    <col min="10" max="10" width="19.7109375" style="77" customWidth="1"/>
    <col min="11" max="15" width="11.42578125" style="77"/>
    <col min="16" max="16" width="17.5703125" style="77" customWidth="1"/>
    <col min="17" max="18" width="11.42578125" style="77"/>
    <col min="19" max="19" width="20.42578125" style="77" bestFit="1" customWidth="1"/>
    <col min="20" max="20" width="21.85546875" style="77" bestFit="1" customWidth="1"/>
    <col min="21" max="21" width="19.7109375" style="77" bestFit="1" customWidth="1"/>
    <col min="22" max="22" width="21" style="77" bestFit="1" customWidth="1"/>
    <col min="23" max="23" width="10.42578125" style="77" customWidth="1"/>
    <col min="24" max="16384" width="11.42578125" style="77"/>
  </cols>
  <sheetData>
    <row r="1" spans="1:24" ht="66.75" customHeight="1">
      <c r="A1" s="1880"/>
      <c r="B1" s="1880"/>
      <c r="C1" s="1880"/>
      <c r="D1" s="1880"/>
      <c r="E1" s="1880"/>
      <c r="F1" s="1880"/>
      <c r="G1" s="1880"/>
      <c r="H1" s="1880"/>
      <c r="I1" s="1880"/>
      <c r="J1" s="1880"/>
      <c r="K1" s="1880"/>
      <c r="L1" s="1880"/>
      <c r="M1" s="1880"/>
      <c r="N1" s="1383"/>
      <c r="O1" s="1383"/>
    </row>
    <row r="2" spans="1:24" ht="3" hidden="1" customHeight="1"/>
    <row r="3" spans="1:24" ht="8.25" customHeight="1"/>
    <row r="4" spans="1:24" ht="16.5" customHeight="1">
      <c r="A4" s="1890" t="s">
        <v>154</v>
      </c>
      <c r="B4" s="1892" t="s">
        <v>525</v>
      </c>
      <c r="C4" s="1893"/>
      <c r="D4" s="1894"/>
      <c r="E4" s="1893" t="s">
        <v>46</v>
      </c>
      <c r="F4" s="1893"/>
      <c r="G4" s="1894"/>
    </row>
    <row r="5" spans="1:24">
      <c r="A5" s="1891"/>
      <c r="B5" s="486" t="s">
        <v>50</v>
      </c>
      <c r="C5" s="482" t="s">
        <v>51</v>
      </c>
      <c r="D5" s="483" t="s">
        <v>23</v>
      </c>
      <c r="E5" s="482" t="s">
        <v>50</v>
      </c>
      <c r="F5" s="482" t="s">
        <v>51</v>
      </c>
      <c r="G5" s="483" t="s">
        <v>23</v>
      </c>
    </row>
    <row r="6" spans="1:24">
      <c r="A6" s="484">
        <v>37986</v>
      </c>
      <c r="B6" s="487">
        <v>568158</v>
      </c>
      <c r="C6" s="478">
        <v>418380</v>
      </c>
      <c r="D6" s="479">
        <f t="shared" ref="D6:D18" si="0">+C6+B6</f>
        <v>986538</v>
      </c>
      <c r="E6" s="478">
        <v>350832</v>
      </c>
      <c r="F6" s="478">
        <v>226037</v>
      </c>
      <c r="G6" s="479">
        <f>+F6+E6</f>
        <v>576869</v>
      </c>
      <c r="H6" s="18"/>
      <c r="I6" s="18"/>
      <c r="W6" s="476"/>
      <c r="X6" s="476"/>
    </row>
    <row r="7" spans="1:24">
      <c r="A7" s="484">
        <v>38352</v>
      </c>
      <c r="B7" s="487">
        <v>685676</v>
      </c>
      <c r="C7" s="478">
        <v>504526</v>
      </c>
      <c r="D7" s="479">
        <f t="shared" si="0"/>
        <v>1190202</v>
      </c>
      <c r="E7" s="478">
        <v>356770</v>
      </c>
      <c r="F7" s="478">
        <v>236516</v>
      </c>
      <c r="G7" s="479">
        <f t="shared" ref="G7:G16" si="1">+F7+E7</f>
        <v>593286</v>
      </c>
      <c r="H7" s="18"/>
      <c r="I7" s="18"/>
      <c r="W7" s="477"/>
      <c r="X7" s="92"/>
    </row>
    <row r="8" spans="1:24" ht="16.5" customHeight="1">
      <c r="A8" s="484">
        <v>38717</v>
      </c>
      <c r="B8" s="487">
        <v>828566</v>
      </c>
      <c r="C8" s="478">
        <v>600955</v>
      </c>
      <c r="D8" s="479">
        <f t="shared" si="0"/>
        <v>1429521</v>
      </c>
      <c r="E8" s="478">
        <v>386054</v>
      </c>
      <c r="F8" s="478">
        <v>240561</v>
      </c>
      <c r="G8" s="479">
        <f t="shared" si="1"/>
        <v>626615</v>
      </c>
      <c r="H8" s="18"/>
      <c r="I8" s="18"/>
      <c r="P8" s="280"/>
      <c r="W8" s="477"/>
      <c r="X8" s="92"/>
    </row>
    <row r="9" spans="1:24">
      <c r="A9" s="484">
        <v>39082</v>
      </c>
      <c r="B9" s="487">
        <v>930043</v>
      </c>
      <c r="C9" s="478">
        <v>658578</v>
      </c>
      <c r="D9" s="479">
        <f t="shared" si="0"/>
        <v>1588621</v>
      </c>
      <c r="E9" s="478">
        <v>486327</v>
      </c>
      <c r="F9" s="478">
        <v>322169</v>
      </c>
      <c r="G9" s="479">
        <f t="shared" si="1"/>
        <v>808496</v>
      </c>
      <c r="H9" s="18"/>
      <c r="I9" s="18"/>
      <c r="P9" s="280"/>
      <c r="W9" s="477"/>
      <c r="X9" s="92"/>
    </row>
    <row r="10" spans="1:24">
      <c r="A10" s="484">
        <v>39417</v>
      </c>
      <c r="B10" s="487">
        <v>1055907</v>
      </c>
      <c r="C10" s="478">
        <v>741120</v>
      </c>
      <c r="D10" s="479">
        <f t="shared" si="0"/>
        <v>1797027</v>
      </c>
      <c r="E10" s="478">
        <v>549737</v>
      </c>
      <c r="F10" s="478">
        <v>363466</v>
      </c>
      <c r="G10" s="479">
        <f t="shared" si="1"/>
        <v>913203</v>
      </c>
      <c r="H10" s="18"/>
      <c r="I10" s="18"/>
      <c r="J10" s="152"/>
      <c r="P10" s="280"/>
      <c r="W10" s="477"/>
      <c r="X10" s="92"/>
    </row>
    <row r="11" spans="1:24">
      <c r="A11" s="484">
        <v>39783</v>
      </c>
      <c r="B11" s="487">
        <v>1165631</v>
      </c>
      <c r="C11" s="478">
        <v>818089</v>
      </c>
      <c r="D11" s="479">
        <f t="shared" si="0"/>
        <v>1983720</v>
      </c>
      <c r="E11" s="478">
        <v>552570</v>
      </c>
      <c r="F11" s="478">
        <v>377173</v>
      </c>
      <c r="G11" s="479">
        <f t="shared" si="1"/>
        <v>929743</v>
      </c>
      <c r="H11" s="18"/>
      <c r="I11" s="18"/>
      <c r="J11" s="220"/>
      <c r="K11" s="77" t="s">
        <v>33</v>
      </c>
      <c r="P11" s="280"/>
      <c r="W11" s="477"/>
      <c r="X11" s="92"/>
    </row>
    <row r="12" spans="1:24">
      <c r="A12" s="484">
        <v>40148</v>
      </c>
      <c r="B12" s="487">
        <v>1281904</v>
      </c>
      <c r="C12" s="478">
        <v>911986</v>
      </c>
      <c r="D12" s="479">
        <f t="shared" si="0"/>
        <v>2193890</v>
      </c>
      <c r="E12" s="478">
        <v>634008</v>
      </c>
      <c r="F12" s="478">
        <v>484285</v>
      </c>
      <c r="G12" s="479">
        <f t="shared" si="1"/>
        <v>1118293</v>
      </c>
      <c r="H12" s="18"/>
      <c r="I12" s="18"/>
      <c r="W12" s="477"/>
      <c r="X12" s="92"/>
    </row>
    <row r="13" spans="1:24">
      <c r="A13" s="484">
        <v>40513</v>
      </c>
      <c r="B13" s="487">
        <v>1383536</v>
      </c>
      <c r="C13" s="478">
        <v>991247</v>
      </c>
      <c r="D13" s="479">
        <f t="shared" si="0"/>
        <v>2374783</v>
      </c>
      <c r="E13" s="478">
        <v>675015</v>
      </c>
      <c r="F13" s="478">
        <v>514586</v>
      </c>
      <c r="G13" s="479">
        <f t="shared" si="1"/>
        <v>1189601</v>
      </c>
      <c r="H13" s="18"/>
      <c r="I13" s="18"/>
      <c r="W13" s="477"/>
      <c r="X13" s="92"/>
    </row>
    <row r="14" spans="1:24">
      <c r="A14" s="484">
        <v>40878</v>
      </c>
      <c r="B14" s="487">
        <v>1480731</v>
      </c>
      <c r="C14" s="478">
        <v>1072243</v>
      </c>
      <c r="D14" s="479">
        <f t="shared" si="0"/>
        <v>2552974</v>
      </c>
      <c r="E14" s="478">
        <v>702422</v>
      </c>
      <c r="F14" s="478">
        <v>540358</v>
      </c>
      <c r="G14" s="479">
        <f t="shared" si="1"/>
        <v>1242780</v>
      </c>
      <c r="H14" s="18"/>
      <c r="I14" s="18"/>
      <c r="W14" s="477"/>
      <c r="X14" s="92"/>
    </row>
    <row r="15" spans="1:24">
      <c r="A15" s="484">
        <v>41244</v>
      </c>
      <c r="B15" s="487">
        <v>1570504</v>
      </c>
      <c r="C15" s="478">
        <v>1143945</v>
      </c>
      <c r="D15" s="479">
        <f t="shared" si="0"/>
        <v>2714449</v>
      </c>
      <c r="E15" s="478">
        <v>726141</v>
      </c>
      <c r="F15" s="478">
        <v>564996</v>
      </c>
      <c r="G15" s="479">
        <f t="shared" si="1"/>
        <v>1291137</v>
      </c>
      <c r="H15" s="18"/>
      <c r="I15" s="18"/>
      <c r="W15" s="477"/>
      <c r="X15" s="92"/>
    </row>
    <row r="16" spans="1:24">
      <c r="A16" s="484">
        <v>41609</v>
      </c>
      <c r="B16" s="487">
        <v>1661097</v>
      </c>
      <c r="C16" s="478">
        <v>1220033</v>
      </c>
      <c r="D16" s="479">
        <f t="shared" si="0"/>
        <v>2881130</v>
      </c>
      <c r="E16" s="478">
        <v>770060</v>
      </c>
      <c r="F16" s="478">
        <v>606906</v>
      </c>
      <c r="G16" s="479">
        <f t="shared" si="1"/>
        <v>1376966</v>
      </c>
      <c r="H16" s="18"/>
      <c r="I16" s="18"/>
      <c r="W16" s="477"/>
      <c r="X16" s="92"/>
    </row>
    <row r="17" spans="1:24">
      <c r="A17" s="484">
        <v>41974</v>
      </c>
      <c r="B17" s="487">
        <v>1759926</v>
      </c>
      <c r="C17" s="478">
        <v>1309974</v>
      </c>
      <c r="D17" s="479">
        <f t="shared" si="0"/>
        <v>3069900</v>
      </c>
      <c r="E17" s="478">
        <v>835620</v>
      </c>
      <c r="F17" s="478">
        <v>672772</v>
      </c>
      <c r="G17" s="479">
        <f>+F17+E17</f>
        <v>1508392</v>
      </c>
      <c r="W17" s="477"/>
      <c r="X17" s="92"/>
    </row>
    <row r="18" spans="1:24">
      <c r="A18" s="485" t="s">
        <v>946</v>
      </c>
      <c r="B18" s="488">
        <v>1810242</v>
      </c>
      <c r="C18" s="480">
        <v>1354380</v>
      </c>
      <c r="D18" s="481">
        <f t="shared" si="0"/>
        <v>3164622</v>
      </c>
      <c r="E18" s="480">
        <v>859633</v>
      </c>
      <c r="F18" s="480">
        <v>694127</v>
      </c>
      <c r="G18" s="481">
        <f>+F18+E18</f>
        <v>1553760</v>
      </c>
    </row>
    <row r="21" spans="1:24">
      <c r="P21" s="1798"/>
      <c r="Q21" s="1798"/>
    </row>
    <row r="22" spans="1:24">
      <c r="A22" s="1789"/>
      <c r="B22" s="1789"/>
      <c r="C22" s="1789"/>
      <c r="D22" s="1789"/>
      <c r="E22" s="1789"/>
      <c r="F22" s="1788"/>
      <c r="G22" s="47"/>
      <c r="H22" s="47"/>
      <c r="P22" s="1797"/>
      <c r="Q22" s="1797"/>
    </row>
    <row r="23" spans="1:24">
      <c r="A23" s="1789"/>
      <c r="B23" s="1789"/>
      <c r="C23" s="1789"/>
      <c r="D23" s="1789"/>
      <c r="E23" s="1789"/>
      <c r="F23" s="1788"/>
      <c r="G23" s="47"/>
      <c r="H23" s="47"/>
    </row>
    <row r="24" spans="1:24" ht="25.5">
      <c r="A24" s="1790" t="s">
        <v>154</v>
      </c>
      <c r="B24" s="1790" t="s">
        <v>526</v>
      </c>
      <c r="C24" s="1790" t="s">
        <v>528</v>
      </c>
      <c r="D24" s="1790" t="s">
        <v>529</v>
      </c>
      <c r="E24" s="1790" t="s">
        <v>527</v>
      </c>
      <c r="F24" s="1788"/>
      <c r="G24" s="47"/>
      <c r="H24" s="47"/>
    </row>
    <row r="25" spans="1:24">
      <c r="A25" s="1791">
        <f t="shared" ref="A25:B37" si="2">+A6</f>
        <v>37986</v>
      </c>
      <c r="B25" s="1792">
        <f t="shared" si="2"/>
        <v>568158</v>
      </c>
      <c r="C25" s="1792">
        <f t="shared" ref="C25:C37" si="3">+E6</f>
        <v>350832</v>
      </c>
      <c r="D25" s="1792">
        <f t="shared" ref="D25:D37" si="4">+C6*$J$35</f>
        <v>-418380</v>
      </c>
      <c r="E25" s="1792">
        <f t="shared" ref="E25:E37" si="5">+$J$35*F6</f>
        <v>-226037</v>
      </c>
      <c r="F25" s="1788"/>
      <c r="G25" s="47"/>
      <c r="H25" s="47"/>
    </row>
    <row r="26" spans="1:24">
      <c r="A26" s="1791">
        <f t="shared" si="2"/>
        <v>38352</v>
      </c>
      <c r="B26" s="1792">
        <f t="shared" si="2"/>
        <v>685676</v>
      </c>
      <c r="C26" s="1792">
        <f t="shared" si="3"/>
        <v>356770</v>
      </c>
      <c r="D26" s="1792">
        <f t="shared" si="4"/>
        <v>-504526</v>
      </c>
      <c r="E26" s="1792">
        <f t="shared" si="5"/>
        <v>-236516</v>
      </c>
      <c r="F26" s="1788"/>
      <c r="G26" s="47"/>
      <c r="H26" s="47"/>
    </row>
    <row r="27" spans="1:24">
      <c r="A27" s="1791">
        <f t="shared" si="2"/>
        <v>38717</v>
      </c>
      <c r="B27" s="1792">
        <f t="shared" si="2"/>
        <v>828566</v>
      </c>
      <c r="C27" s="1792">
        <f t="shared" si="3"/>
        <v>386054</v>
      </c>
      <c r="D27" s="1792">
        <f t="shared" si="4"/>
        <v>-600955</v>
      </c>
      <c r="E27" s="1792">
        <f t="shared" si="5"/>
        <v>-240561</v>
      </c>
      <c r="F27" s="1788"/>
      <c r="G27" s="47"/>
      <c r="H27" s="47"/>
    </row>
    <row r="28" spans="1:24">
      <c r="A28" s="1791">
        <f t="shared" si="2"/>
        <v>39082</v>
      </c>
      <c r="B28" s="1792">
        <f t="shared" si="2"/>
        <v>930043</v>
      </c>
      <c r="C28" s="1792">
        <f t="shared" si="3"/>
        <v>486327</v>
      </c>
      <c r="D28" s="1792">
        <f t="shared" si="4"/>
        <v>-658578</v>
      </c>
      <c r="E28" s="1792">
        <f t="shared" si="5"/>
        <v>-322169</v>
      </c>
      <c r="F28" s="1788"/>
      <c r="G28" s="47"/>
      <c r="H28" s="47"/>
    </row>
    <row r="29" spans="1:24">
      <c r="A29" s="1791">
        <f t="shared" si="2"/>
        <v>39417</v>
      </c>
      <c r="B29" s="1792">
        <f t="shared" si="2"/>
        <v>1055907</v>
      </c>
      <c r="C29" s="1792">
        <f t="shared" si="3"/>
        <v>549737</v>
      </c>
      <c r="D29" s="1792">
        <f t="shared" si="4"/>
        <v>-741120</v>
      </c>
      <c r="E29" s="1792">
        <f t="shared" si="5"/>
        <v>-363466</v>
      </c>
      <c r="F29" s="1788"/>
      <c r="G29" s="47"/>
      <c r="H29" s="47"/>
    </row>
    <row r="30" spans="1:24">
      <c r="A30" s="1791">
        <f t="shared" si="2"/>
        <v>39783</v>
      </c>
      <c r="B30" s="1792">
        <f t="shared" si="2"/>
        <v>1165631</v>
      </c>
      <c r="C30" s="1792">
        <f t="shared" si="3"/>
        <v>552570</v>
      </c>
      <c r="D30" s="1792">
        <f t="shared" si="4"/>
        <v>-818089</v>
      </c>
      <c r="E30" s="1792">
        <f t="shared" si="5"/>
        <v>-377173</v>
      </c>
      <c r="F30" s="1788"/>
      <c r="G30" s="47"/>
      <c r="H30" s="47"/>
    </row>
    <row r="31" spans="1:24">
      <c r="A31" s="1791">
        <f t="shared" si="2"/>
        <v>40148</v>
      </c>
      <c r="B31" s="1792">
        <f t="shared" si="2"/>
        <v>1281904</v>
      </c>
      <c r="C31" s="1792">
        <f t="shared" si="3"/>
        <v>634008</v>
      </c>
      <c r="D31" s="1792">
        <f t="shared" si="4"/>
        <v>-911986</v>
      </c>
      <c r="E31" s="1792">
        <f t="shared" si="5"/>
        <v>-484285</v>
      </c>
      <c r="F31" s="1788"/>
      <c r="G31" s="47"/>
      <c r="H31" s="47"/>
    </row>
    <row r="32" spans="1:24">
      <c r="A32" s="1791">
        <f t="shared" si="2"/>
        <v>40513</v>
      </c>
      <c r="B32" s="1792">
        <f t="shared" si="2"/>
        <v>1383536</v>
      </c>
      <c r="C32" s="1792">
        <f t="shared" si="3"/>
        <v>675015</v>
      </c>
      <c r="D32" s="1792">
        <f t="shared" si="4"/>
        <v>-991247</v>
      </c>
      <c r="E32" s="1792">
        <f t="shared" si="5"/>
        <v>-514586</v>
      </c>
      <c r="F32" s="1788"/>
      <c r="G32" s="47"/>
      <c r="H32" s="47"/>
    </row>
    <row r="33" spans="1:10">
      <c r="A33" s="1791">
        <f t="shared" si="2"/>
        <v>40878</v>
      </c>
      <c r="B33" s="1792">
        <f t="shared" si="2"/>
        <v>1480731</v>
      </c>
      <c r="C33" s="1792">
        <f t="shared" si="3"/>
        <v>702422</v>
      </c>
      <c r="D33" s="1792">
        <f t="shared" si="4"/>
        <v>-1072243</v>
      </c>
      <c r="E33" s="1792">
        <f t="shared" si="5"/>
        <v>-540358</v>
      </c>
      <c r="F33" s="1788"/>
      <c r="G33" s="47"/>
      <c r="H33" s="47"/>
    </row>
    <row r="34" spans="1:10">
      <c r="A34" s="1791">
        <f t="shared" si="2"/>
        <v>41244</v>
      </c>
      <c r="B34" s="1792">
        <f t="shared" si="2"/>
        <v>1570504</v>
      </c>
      <c r="C34" s="1792">
        <f t="shared" si="3"/>
        <v>726141</v>
      </c>
      <c r="D34" s="1792">
        <f t="shared" si="4"/>
        <v>-1143945</v>
      </c>
      <c r="E34" s="1792">
        <f t="shared" si="5"/>
        <v>-564996</v>
      </c>
      <c r="F34" s="1788"/>
      <c r="G34" s="47"/>
      <c r="H34" s="47"/>
    </row>
    <row r="35" spans="1:10">
      <c r="A35" s="1791">
        <f t="shared" si="2"/>
        <v>41609</v>
      </c>
      <c r="B35" s="1792">
        <f t="shared" si="2"/>
        <v>1661097</v>
      </c>
      <c r="C35" s="1792">
        <f t="shared" si="3"/>
        <v>770060</v>
      </c>
      <c r="D35" s="1792">
        <f t="shared" si="4"/>
        <v>-1220033</v>
      </c>
      <c r="E35" s="1792">
        <f t="shared" si="5"/>
        <v>-606906</v>
      </c>
      <c r="F35" s="1788"/>
      <c r="G35" s="47"/>
      <c r="H35" s="47"/>
      <c r="J35" s="77">
        <f>+-1</f>
        <v>-1</v>
      </c>
    </row>
    <row r="36" spans="1:10">
      <c r="A36" s="1791">
        <f t="shared" si="2"/>
        <v>41974</v>
      </c>
      <c r="B36" s="1792">
        <f t="shared" si="2"/>
        <v>1759926</v>
      </c>
      <c r="C36" s="1792">
        <f t="shared" si="3"/>
        <v>835620</v>
      </c>
      <c r="D36" s="1792">
        <f t="shared" si="4"/>
        <v>-1309974</v>
      </c>
      <c r="E36" s="1792">
        <f t="shared" si="5"/>
        <v>-672772</v>
      </c>
      <c r="F36" s="1788"/>
      <c r="G36" s="47"/>
      <c r="H36" s="47"/>
    </row>
    <row r="37" spans="1:10">
      <c r="A37" s="1791" t="str">
        <f t="shared" si="2"/>
        <v>Jun.15</v>
      </c>
      <c r="B37" s="1792">
        <f t="shared" si="2"/>
        <v>1810242</v>
      </c>
      <c r="C37" s="1792">
        <f t="shared" si="3"/>
        <v>859633</v>
      </c>
      <c r="D37" s="1792">
        <f t="shared" si="4"/>
        <v>-1354380</v>
      </c>
      <c r="E37" s="1792">
        <f t="shared" si="5"/>
        <v>-694127</v>
      </c>
      <c r="F37" s="1788"/>
      <c r="G37" s="47"/>
      <c r="H37" s="47"/>
    </row>
    <row r="38" spans="1:10">
      <c r="A38" s="1789"/>
      <c r="B38" s="1789"/>
      <c r="C38" s="1789"/>
      <c r="D38" s="1789"/>
      <c r="E38" s="1789"/>
      <c r="F38" s="1788"/>
      <c r="G38" s="47"/>
      <c r="H38" s="47"/>
    </row>
    <row r="39" spans="1:10">
      <c r="A39" s="1788"/>
      <c r="B39" s="1788"/>
      <c r="C39" s="1788"/>
      <c r="D39" s="1788"/>
      <c r="E39" s="1788"/>
      <c r="F39" s="97"/>
      <c r="G39" s="47"/>
      <c r="H39" s="47"/>
    </row>
    <row r="40" spans="1:10">
      <c r="A40" s="97"/>
      <c r="B40" s="97"/>
      <c r="C40" s="97"/>
      <c r="D40" s="97"/>
      <c r="E40" s="97"/>
      <c r="F40" s="97"/>
      <c r="G40" s="47"/>
      <c r="H40" s="47"/>
    </row>
    <row r="41" spans="1:10">
      <c r="A41" s="74"/>
      <c r="B41" s="74"/>
      <c r="C41" s="74"/>
      <c r="D41" s="74"/>
      <c r="E41" s="74"/>
      <c r="F41" s="74"/>
      <c r="G41" s="74"/>
    </row>
  </sheetData>
  <mergeCells count="4">
    <mergeCell ref="A1:M1"/>
    <mergeCell ref="A4:A5"/>
    <mergeCell ref="B4:D4"/>
    <mergeCell ref="E4:G4"/>
  </mergeCells>
  <pageMargins left="0.7" right="0.7" top="0.75" bottom="0.75" header="0.3" footer="0.3"/>
  <pageSetup scale="56"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U111"/>
  <sheetViews>
    <sheetView showGridLines="0" view="pageBreakPreview" zoomScale="55" zoomScaleNormal="78" zoomScaleSheetLayoutView="55" workbookViewId="0">
      <pane ySplit="1" topLeftCell="A2" activePane="bottomLeft" state="frozen"/>
      <selection pane="bottomLeft" activeCell="B16" sqref="B16"/>
    </sheetView>
  </sheetViews>
  <sheetFormatPr baseColWidth="10" defaultColWidth="11.42578125" defaultRowHeight="15"/>
  <cols>
    <col min="1" max="1" width="17.5703125" style="77" customWidth="1"/>
    <col min="2" max="2" width="17.7109375" style="77" customWidth="1"/>
    <col min="3" max="3" width="17.85546875" style="77" customWidth="1"/>
    <col min="4" max="4" width="10.28515625" style="77" customWidth="1"/>
    <col min="5" max="5" width="17.5703125" style="77" customWidth="1"/>
    <col min="6" max="6" width="10.42578125" style="77" customWidth="1"/>
    <col min="7" max="7" width="11.7109375" style="77" customWidth="1"/>
    <col min="8" max="8" width="10.42578125" style="77" customWidth="1"/>
    <col min="9" max="9" width="16.140625" style="77" customWidth="1"/>
    <col min="10" max="10" width="11.140625" style="77" customWidth="1"/>
    <col min="11" max="11" width="12.5703125" style="77" customWidth="1"/>
    <col min="12" max="12" width="11.140625" style="77" customWidth="1"/>
    <col min="13" max="13" width="16.42578125" style="77" customWidth="1"/>
    <col min="14" max="14" width="12" style="77" customWidth="1"/>
    <col min="15" max="15" width="22" style="77" customWidth="1"/>
    <col min="16" max="16" width="27.7109375" style="77" customWidth="1"/>
    <col min="17" max="17" width="16.7109375" style="77" customWidth="1"/>
    <col min="18" max="18" width="15.28515625" style="77" customWidth="1"/>
    <col min="19" max="19" width="12.5703125" style="77" bestFit="1" customWidth="1"/>
    <col min="20" max="20" width="11.42578125" style="77"/>
    <col min="21" max="21" width="15.42578125" style="77" bestFit="1" customWidth="1"/>
    <col min="22" max="16384" width="11.42578125" style="77"/>
  </cols>
  <sheetData>
    <row r="1" spans="1:19" ht="111" customHeight="1">
      <c r="A1" s="1895"/>
      <c r="B1" s="1895"/>
      <c r="C1" s="1895"/>
      <c r="D1" s="1895"/>
      <c r="E1" s="1895"/>
      <c r="F1" s="1895"/>
      <c r="G1" s="1895"/>
      <c r="H1" s="1895"/>
      <c r="I1" s="1895"/>
      <c r="J1" s="1895"/>
      <c r="K1" s="1895"/>
      <c r="L1" s="1895"/>
      <c r="M1" s="1895"/>
      <c r="N1" s="1895"/>
      <c r="O1" s="1895"/>
      <c r="P1" s="1895"/>
      <c r="Q1" s="1895"/>
    </row>
    <row r="2" spans="1:19" ht="4.5" customHeight="1">
      <c r="A2" s="50"/>
      <c r="B2" s="50"/>
      <c r="C2" s="50"/>
      <c r="D2" s="50"/>
      <c r="E2" s="50"/>
      <c r="F2" s="50"/>
      <c r="G2" s="50"/>
      <c r="H2" s="50"/>
      <c r="I2" s="50"/>
      <c r="J2" s="50"/>
      <c r="K2" s="50"/>
      <c r="L2" s="50"/>
      <c r="M2" s="50"/>
      <c r="N2" s="50"/>
      <c r="O2" s="50"/>
      <c r="P2" s="50"/>
      <c r="Q2" s="50"/>
      <c r="R2" s="50"/>
      <c r="S2" s="50"/>
    </row>
    <row r="3" spans="1:19" s="39" customFormat="1" ht="22.5" customHeight="1">
      <c r="A3" s="1896" t="s">
        <v>194</v>
      </c>
      <c r="B3" s="1896"/>
      <c r="C3" s="77"/>
      <c r="D3" s="77"/>
      <c r="E3" s="77"/>
      <c r="F3" s="50"/>
      <c r="G3" s="50"/>
      <c r="H3" s="50"/>
      <c r="I3" s="50"/>
      <c r="J3" s="50"/>
      <c r="K3" s="50"/>
      <c r="L3" s="50"/>
      <c r="M3" s="50"/>
      <c r="N3" s="50"/>
      <c r="O3" s="50"/>
      <c r="P3" s="50"/>
      <c r="Q3" s="50"/>
      <c r="R3" s="50"/>
      <c r="S3" s="50"/>
    </row>
    <row r="4" spans="1:19" s="39" customFormat="1" ht="26.25" customHeight="1">
      <c r="A4" s="366" t="s">
        <v>193</v>
      </c>
      <c r="B4" s="366" t="s">
        <v>918</v>
      </c>
      <c r="C4" s="77"/>
      <c r="D4" s="77"/>
      <c r="E4" s="77"/>
      <c r="F4" s="135"/>
      <c r="G4" s="54"/>
      <c r="H4" s="77"/>
      <c r="I4" s="96"/>
      <c r="J4" s="96"/>
      <c r="K4" s="96"/>
      <c r="L4" s="96"/>
      <c r="M4" s="77"/>
      <c r="N4" s="77"/>
      <c r="O4" s="77"/>
      <c r="P4" s="77"/>
      <c r="Q4" s="77"/>
      <c r="R4" s="116"/>
    </row>
    <row r="5" spans="1:19" s="39" customFormat="1" ht="21">
      <c r="A5" s="1322">
        <v>2005</v>
      </c>
      <c r="B5" s="1323">
        <v>733</v>
      </c>
      <c r="C5" s="77"/>
      <c r="D5" s="77"/>
      <c r="E5" s="77"/>
      <c r="F5" s="135"/>
      <c r="G5" s="54"/>
      <c r="H5" s="77"/>
      <c r="I5" s="96"/>
      <c r="J5" s="96"/>
      <c r="K5" s="96"/>
      <c r="L5" s="96"/>
      <c r="M5" s="77"/>
      <c r="N5" s="77"/>
      <c r="O5" s="77"/>
      <c r="P5" s="77"/>
      <c r="Q5" s="77"/>
      <c r="R5" s="116"/>
    </row>
    <row r="6" spans="1:19" s="39" customFormat="1" ht="21">
      <c r="A6" s="1322">
        <v>2006</v>
      </c>
      <c r="B6" s="1323">
        <v>1859</v>
      </c>
      <c r="C6" s="77"/>
      <c r="D6" s="77"/>
      <c r="E6" s="77"/>
      <c r="F6" s="135"/>
      <c r="G6" s="54"/>
      <c r="H6" s="77"/>
      <c r="I6" s="96"/>
      <c r="J6" s="96"/>
      <c r="K6" s="96"/>
      <c r="L6" s="96"/>
      <c r="M6" s="77"/>
      <c r="N6" s="77"/>
      <c r="O6" s="77"/>
      <c r="P6" s="77"/>
      <c r="Q6" s="77"/>
      <c r="R6" s="116"/>
    </row>
    <row r="7" spans="1:19" s="39" customFormat="1" ht="21">
      <c r="A7" s="1322">
        <v>2007</v>
      </c>
      <c r="B7" s="1323">
        <v>1247</v>
      </c>
      <c r="C7" s="77"/>
      <c r="D7" s="77"/>
      <c r="E7" s="77"/>
      <c r="F7" s="135"/>
      <c r="G7" s="54"/>
      <c r="H7" s="77"/>
      <c r="I7" s="96"/>
      <c r="J7" s="96"/>
      <c r="K7" s="96"/>
      <c r="L7" s="96"/>
      <c r="M7" s="77"/>
      <c r="N7" s="77"/>
      <c r="O7" s="77"/>
      <c r="P7" s="77"/>
      <c r="Q7" s="77"/>
      <c r="R7" s="116"/>
    </row>
    <row r="8" spans="1:19" s="39" customFormat="1" ht="21">
      <c r="A8" s="1322">
        <v>2008</v>
      </c>
      <c r="B8" s="1323">
        <v>1028</v>
      </c>
      <c r="C8" s="77"/>
      <c r="D8" s="77"/>
      <c r="E8" s="77"/>
      <c r="F8" s="135"/>
      <c r="G8" s="54"/>
      <c r="H8" s="77"/>
      <c r="I8" s="96"/>
      <c r="J8" s="96"/>
      <c r="K8" s="96"/>
      <c r="L8" s="96"/>
      <c r="M8" s="77"/>
      <c r="N8" s="77"/>
      <c r="O8" s="77"/>
      <c r="P8" s="77"/>
      <c r="Q8" s="77"/>
      <c r="R8" s="52"/>
      <c r="S8" s="53"/>
    </row>
    <row r="9" spans="1:19" s="39" customFormat="1" ht="21">
      <c r="A9" s="1322">
        <v>2009</v>
      </c>
      <c r="B9" s="1323">
        <v>25287</v>
      </c>
      <c r="C9" s="77"/>
      <c r="D9" s="77"/>
      <c r="E9" s="77"/>
      <c r="F9" s="135"/>
      <c r="G9" s="54"/>
      <c r="H9" s="77"/>
      <c r="J9" s="96"/>
      <c r="K9" s="96"/>
      <c r="L9" s="96"/>
      <c r="M9" s="77"/>
      <c r="N9" s="77"/>
      <c r="O9" s="77"/>
      <c r="P9" s="77"/>
      <c r="Q9" s="77"/>
      <c r="R9" s="116"/>
    </row>
    <row r="10" spans="1:19" s="39" customFormat="1" ht="21">
      <c r="A10" s="1322">
        <v>2010</v>
      </c>
      <c r="B10" s="1323">
        <v>10644</v>
      </c>
      <c r="C10" s="77"/>
      <c r="D10" s="77"/>
      <c r="E10" s="77"/>
      <c r="F10" s="166"/>
      <c r="G10" s="54"/>
      <c r="H10" s="77"/>
      <c r="I10" s="96"/>
      <c r="J10" s="96"/>
      <c r="K10" s="96"/>
      <c r="L10" s="96"/>
      <c r="M10" s="77"/>
      <c r="N10" s="77"/>
      <c r="O10" s="77"/>
      <c r="P10" s="77"/>
      <c r="Q10" s="77"/>
      <c r="R10" s="116"/>
    </row>
    <row r="11" spans="1:19" s="39" customFormat="1" ht="19.5" customHeight="1">
      <c r="A11" s="1322">
        <v>2011</v>
      </c>
      <c r="B11" s="1323">
        <v>6268</v>
      </c>
      <c r="C11" s="77"/>
      <c r="D11" s="77"/>
      <c r="E11" s="77"/>
      <c r="G11" s="54"/>
      <c r="H11" s="77"/>
      <c r="I11" s="96"/>
      <c r="J11" s="96"/>
      <c r="K11" s="96"/>
      <c r="L11" s="96"/>
      <c r="M11" s="77"/>
      <c r="N11" s="77"/>
      <c r="O11" s="77"/>
      <c r="P11" s="77"/>
      <c r="Q11" s="77"/>
      <c r="R11" s="116"/>
    </row>
    <row r="12" spans="1:19" s="39" customFormat="1" ht="19.5" customHeight="1">
      <c r="A12" s="1322" t="s">
        <v>485</v>
      </c>
      <c r="B12" s="1326">
        <v>10046</v>
      </c>
      <c r="C12" s="77"/>
      <c r="D12" s="77"/>
      <c r="E12" s="77"/>
      <c r="G12" s="54"/>
      <c r="H12" s="77"/>
      <c r="I12" s="96"/>
      <c r="J12" s="96"/>
      <c r="K12" s="96"/>
      <c r="L12" s="96"/>
      <c r="M12" s="77"/>
      <c r="N12" s="77"/>
      <c r="O12" s="77"/>
      <c r="P12" s="77"/>
      <c r="Q12" s="77"/>
      <c r="R12" s="116"/>
    </row>
    <row r="13" spans="1:19" s="39" customFormat="1" ht="19.5" customHeight="1">
      <c r="A13" s="1322" t="s">
        <v>573</v>
      </c>
      <c r="B13" s="1326">
        <v>15740</v>
      </c>
      <c r="C13" s="77"/>
      <c r="D13" s="77"/>
      <c r="G13" s="54"/>
      <c r="H13" s="77"/>
      <c r="I13" s="96"/>
      <c r="J13" s="96"/>
      <c r="K13" s="96"/>
      <c r="L13" s="96"/>
      <c r="M13" s="77"/>
      <c r="N13" s="77"/>
      <c r="O13" s="77"/>
      <c r="P13" s="77"/>
      <c r="Q13" s="77"/>
      <c r="R13" s="116"/>
    </row>
    <row r="14" spans="1:19" s="39" customFormat="1" ht="19.5" customHeight="1">
      <c r="A14" s="1322" t="s">
        <v>581</v>
      </c>
      <c r="B14" s="1326">
        <f>+'III.5.12.Trasp. recibidos'!Q14</f>
        <v>32365</v>
      </c>
      <c r="C14" s="77"/>
      <c r="D14" s="77"/>
      <c r="E14" s="77"/>
      <c r="G14" s="54"/>
      <c r="H14" s="77"/>
      <c r="I14" s="96"/>
      <c r="J14" s="96"/>
      <c r="K14" s="96"/>
      <c r="L14" s="96"/>
      <c r="M14" s="77"/>
      <c r="N14" s="77"/>
      <c r="O14" s="77"/>
      <c r="P14" s="77"/>
      <c r="Q14" s="77"/>
      <c r="R14" s="116"/>
    </row>
    <row r="15" spans="1:19" s="39" customFormat="1" ht="19.5" customHeight="1">
      <c r="A15" s="1322" t="s">
        <v>958</v>
      </c>
      <c r="B15" s="1321">
        <v>15512</v>
      </c>
      <c r="C15" s="77"/>
      <c r="D15" s="77"/>
      <c r="E15" s="77"/>
      <c r="G15" s="54"/>
      <c r="H15" s="77"/>
      <c r="I15" s="96"/>
      <c r="J15" s="96"/>
      <c r="K15" s="96"/>
      <c r="L15" s="96"/>
      <c r="M15" s="77"/>
      <c r="N15" s="77"/>
      <c r="O15" s="77"/>
      <c r="P15" s="77"/>
      <c r="Q15" s="77"/>
      <c r="R15" s="116"/>
    </row>
    <row r="16" spans="1:19" s="39" customFormat="1" ht="21">
      <c r="A16" s="1324" t="s">
        <v>23</v>
      </c>
      <c r="B16" s="1325">
        <f>SUM(B5:B15)</f>
        <v>120729</v>
      </c>
      <c r="C16" s="77"/>
      <c r="D16" s="77"/>
      <c r="E16" s="77"/>
      <c r="F16" s="54"/>
      <c r="G16" s="54"/>
      <c r="H16" s="77"/>
      <c r="I16" s="96"/>
      <c r="J16" s="96"/>
      <c r="K16" s="96"/>
      <c r="L16" s="96"/>
      <c r="M16" s="77"/>
      <c r="N16" s="77"/>
      <c r="O16" s="77"/>
      <c r="P16" s="77"/>
      <c r="Q16" s="77"/>
      <c r="R16" s="116"/>
      <c r="S16" s="115"/>
    </row>
    <row r="17" spans="1:19" s="39" customFormat="1">
      <c r="A17" s="96"/>
      <c r="B17" s="96"/>
      <c r="C17" s="96"/>
      <c r="D17" s="96"/>
      <c r="E17" s="96"/>
      <c r="F17" s="96"/>
      <c r="G17" s="96"/>
      <c r="H17" s="96"/>
      <c r="I17" s="96"/>
      <c r="J17" s="96"/>
      <c r="K17" s="96"/>
      <c r="L17" s="96"/>
      <c r="M17" s="96"/>
      <c r="N17" s="96"/>
      <c r="O17" s="96"/>
      <c r="P17" s="96"/>
      <c r="Q17" s="96"/>
      <c r="R17" s="116"/>
      <c r="S17" s="115"/>
    </row>
    <row r="18" spans="1:19" s="39" customFormat="1">
      <c r="A18" s="96"/>
      <c r="B18" s="96"/>
      <c r="C18" s="44"/>
      <c r="D18" s="44"/>
      <c r="E18" s="44"/>
      <c r="F18" s="44"/>
      <c r="G18" s="61"/>
      <c r="H18" s="44"/>
      <c r="I18" s="61"/>
      <c r="J18" s="44"/>
      <c r="K18" s="44"/>
      <c r="L18" s="44"/>
      <c r="M18" s="44"/>
      <c r="N18" s="44"/>
      <c r="O18" s="44"/>
      <c r="P18" s="61"/>
      <c r="Q18" s="24"/>
      <c r="R18" s="116"/>
      <c r="S18" s="115"/>
    </row>
    <row r="19" spans="1:19" s="39" customFormat="1">
      <c r="A19" s="96"/>
      <c r="B19" s="96"/>
      <c r="C19" s="44"/>
      <c r="D19" s="44"/>
      <c r="E19" s="44"/>
      <c r="F19" s="44"/>
      <c r="G19" s="61"/>
      <c r="H19" s="44"/>
      <c r="I19" s="61"/>
      <c r="J19" s="44"/>
      <c r="K19" s="44"/>
      <c r="L19" s="44"/>
      <c r="M19" s="61"/>
      <c r="N19" s="44"/>
      <c r="O19" s="44"/>
      <c r="P19" s="44"/>
      <c r="Q19" s="44"/>
      <c r="R19" s="116"/>
      <c r="S19" s="115"/>
    </row>
    <row r="20" spans="1:19" s="39" customFormat="1">
      <c r="A20" s="96"/>
      <c r="B20" s="96"/>
      <c r="C20" s="44"/>
      <c r="D20" s="44"/>
      <c r="E20" s="44"/>
      <c r="F20" s="44"/>
      <c r="G20" s="61"/>
      <c r="H20" s="44"/>
      <c r="I20" s="61"/>
      <c r="J20" s="44"/>
      <c r="K20" s="44"/>
      <c r="L20" s="44"/>
      <c r="M20" s="61"/>
      <c r="N20" s="44"/>
      <c r="O20" s="44"/>
      <c r="P20" s="44"/>
      <c r="Q20" s="44"/>
      <c r="R20" s="116"/>
      <c r="S20" s="116"/>
    </row>
    <row r="21" spans="1:19" s="39" customFormat="1">
      <c r="A21" s="96"/>
      <c r="B21" s="96"/>
      <c r="C21" s="44"/>
      <c r="D21" s="44"/>
      <c r="E21" s="44"/>
      <c r="F21" s="44"/>
      <c r="G21" s="61"/>
      <c r="H21" s="44"/>
      <c r="I21" s="61"/>
      <c r="J21" s="44"/>
      <c r="K21" s="44"/>
      <c r="L21" s="44"/>
      <c r="M21" s="44"/>
      <c r="N21" s="44"/>
      <c r="O21" s="44"/>
      <c r="P21" s="61"/>
      <c r="Q21" s="44"/>
      <c r="R21" s="116"/>
      <c r="S21" s="116"/>
    </row>
    <row r="22" spans="1:19" s="39" customFormat="1">
      <c r="A22" s="96"/>
      <c r="B22" s="96"/>
      <c r="C22" s="44"/>
      <c r="D22" s="44"/>
      <c r="E22" s="44"/>
      <c r="F22" s="44"/>
      <c r="G22" s="61"/>
      <c r="H22" s="44"/>
      <c r="I22" s="61"/>
      <c r="J22" s="44"/>
      <c r="K22" s="44"/>
      <c r="L22" s="44"/>
      <c r="M22" s="61"/>
      <c r="N22" s="44"/>
      <c r="O22" s="44"/>
      <c r="P22" s="61"/>
      <c r="Q22" s="61"/>
      <c r="R22" s="116"/>
      <c r="S22" s="116"/>
    </row>
    <row r="23" spans="1:19" s="39" customFormat="1">
      <c r="A23" s="96"/>
      <c r="B23" s="96"/>
      <c r="C23" s="44"/>
      <c r="D23" s="44"/>
      <c r="E23" s="44"/>
      <c r="F23" s="44"/>
      <c r="G23" s="44"/>
      <c r="H23" s="44"/>
      <c r="I23" s="61"/>
      <c r="J23" s="44"/>
      <c r="K23" s="61"/>
      <c r="L23" s="61"/>
      <c r="M23" s="44"/>
      <c r="N23" s="44"/>
      <c r="O23" s="44"/>
      <c r="P23" s="44"/>
      <c r="Q23" s="44"/>
      <c r="R23" s="116"/>
      <c r="S23" s="116"/>
    </row>
    <row r="24" spans="1:19" s="39" customFormat="1">
      <c r="A24" s="96"/>
      <c r="B24" s="96"/>
      <c r="C24" s="44"/>
      <c r="D24" s="44"/>
      <c r="E24" s="44"/>
      <c r="F24" s="44"/>
      <c r="G24" s="44"/>
      <c r="H24" s="44"/>
      <c r="I24" s="61"/>
      <c r="J24" s="44"/>
      <c r="K24" s="44"/>
      <c r="L24" s="44"/>
      <c r="M24" s="61"/>
      <c r="N24" s="44"/>
      <c r="O24" s="44"/>
      <c r="P24" s="44"/>
      <c r="Q24" s="61"/>
      <c r="R24" s="116"/>
      <c r="S24" s="116"/>
    </row>
    <row r="25" spans="1:19" s="39" customFormat="1">
      <c r="A25" s="96"/>
      <c r="B25" s="96"/>
      <c r="C25" s="44"/>
      <c r="D25" s="44"/>
      <c r="E25" s="44"/>
      <c r="F25" s="44"/>
      <c r="G25" s="61"/>
      <c r="H25" s="44"/>
      <c r="I25" s="61"/>
      <c r="J25" s="44"/>
      <c r="K25" s="44"/>
      <c r="L25" s="44"/>
      <c r="M25" s="61"/>
      <c r="N25" s="44"/>
      <c r="O25" s="44"/>
      <c r="P25" s="44"/>
      <c r="Q25" s="61"/>
      <c r="R25" s="116"/>
      <c r="S25" s="116"/>
    </row>
    <row r="26" spans="1:19" s="39" customFormat="1">
      <c r="A26" s="96"/>
      <c r="B26" s="96"/>
      <c r="C26" s="96"/>
      <c r="D26" s="25"/>
      <c r="E26" s="25"/>
      <c r="F26" s="25"/>
      <c r="G26" s="26"/>
      <c r="H26" s="25"/>
      <c r="I26" s="26"/>
      <c r="J26" s="25"/>
      <c r="K26" s="26"/>
      <c r="L26" s="26"/>
      <c r="M26" s="26"/>
      <c r="N26" s="25"/>
      <c r="O26" s="25"/>
      <c r="P26" s="25"/>
      <c r="Q26" s="27"/>
      <c r="R26" s="116"/>
      <c r="S26" s="116"/>
    </row>
    <row r="27" spans="1:19" s="39" customFormat="1">
      <c r="A27" s="96"/>
      <c r="B27" s="96"/>
      <c r="C27" s="44"/>
      <c r="D27" s="44"/>
      <c r="E27" s="44"/>
      <c r="F27" s="44"/>
      <c r="G27" s="61"/>
      <c r="H27" s="44"/>
      <c r="I27" s="61"/>
      <c r="J27" s="44"/>
      <c r="K27" s="44"/>
      <c r="L27" s="44"/>
      <c r="M27" s="61"/>
      <c r="N27" s="44"/>
      <c r="O27" s="44"/>
      <c r="P27" s="61"/>
      <c r="Q27" s="61"/>
      <c r="R27" s="116"/>
      <c r="S27" s="116"/>
    </row>
    <row r="28" spans="1:19" s="39" customFormat="1">
      <c r="A28" s="96"/>
      <c r="B28" s="96"/>
      <c r="C28" s="96"/>
      <c r="D28" s="96"/>
      <c r="E28" s="96"/>
      <c r="F28" s="96"/>
      <c r="G28" s="96"/>
      <c r="H28" s="96"/>
      <c r="I28" s="96"/>
      <c r="J28" s="96"/>
      <c r="K28" s="96"/>
      <c r="L28" s="96"/>
      <c r="M28" s="96"/>
      <c r="N28" s="96"/>
      <c r="O28" s="96"/>
      <c r="P28" s="96"/>
      <c r="Q28" s="96"/>
      <c r="R28" s="116"/>
      <c r="S28" s="116"/>
    </row>
    <row r="29" spans="1:19" s="39" customFormat="1">
      <c r="A29" s="96"/>
      <c r="B29" s="96"/>
      <c r="C29" s="96"/>
      <c r="D29" s="96"/>
      <c r="E29" s="96"/>
      <c r="F29" s="96"/>
      <c r="G29" s="96"/>
      <c r="H29" s="96"/>
      <c r="I29" s="96"/>
      <c r="J29" s="96"/>
      <c r="K29" s="96"/>
      <c r="L29" s="96"/>
      <c r="M29" s="96"/>
      <c r="N29" s="96"/>
      <c r="O29" s="96"/>
      <c r="P29" s="96"/>
      <c r="Q29" s="96"/>
      <c r="R29" s="116"/>
      <c r="S29" s="116"/>
    </row>
    <row r="30" spans="1:19" s="39" customFormat="1">
      <c r="A30" s="96"/>
      <c r="B30" s="96"/>
      <c r="C30" s="96"/>
      <c r="D30" s="96"/>
      <c r="E30" s="96"/>
      <c r="F30" s="96"/>
      <c r="G30" s="96"/>
      <c r="H30" s="96"/>
      <c r="I30" s="96"/>
      <c r="J30" s="96"/>
      <c r="K30" s="96"/>
      <c r="L30" s="96"/>
      <c r="M30" s="96"/>
      <c r="N30" s="96"/>
      <c r="O30" s="96"/>
      <c r="P30" s="96"/>
      <c r="Q30" s="96"/>
      <c r="R30" s="116"/>
      <c r="S30" s="116"/>
    </row>
    <row r="31" spans="1:19" s="39" customFormat="1">
      <c r="A31" s="96"/>
      <c r="B31" s="96"/>
      <c r="C31" s="96"/>
      <c r="D31" s="96"/>
      <c r="E31" s="96"/>
      <c r="F31" s="96"/>
      <c r="G31" s="96"/>
      <c r="H31" s="96"/>
      <c r="I31" s="96"/>
      <c r="J31" s="96"/>
      <c r="K31" s="96"/>
      <c r="L31" s="96"/>
      <c r="M31" s="96"/>
      <c r="N31" s="96"/>
      <c r="O31" s="96"/>
      <c r="P31" s="96"/>
      <c r="Q31" s="96"/>
      <c r="R31" s="116"/>
      <c r="S31" s="116"/>
    </row>
    <row r="32" spans="1:19" s="39" customFormat="1">
      <c r="A32" s="96"/>
      <c r="B32" s="96"/>
      <c r="C32" s="96"/>
      <c r="D32" s="96"/>
      <c r="E32" s="96"/>
      <c r="F32" s="96"/>
      <c r="G32" s="96"/>
      <c r="H32" s="96"/>
      <c r="I32" s="96"/>
      <c r="J32" s="96"/>
      <c r="K32" s="96"/>
      <c r="L32" s="96"/>
      <c r="M32" s="96"/>
      <c r="N32" s="96"/>
      <c r="O32" s="96"/>
      <c r="P32" s="96"/>
      <c r="Q32" s="96"/>
      <c r="R32" s="116"/>
      <c r="S32" s="116"/>
    </row>
    <row r="33" spans="1:21" s="39" customFormat="1">
      <c r="A33" s="96"/>
      <c r="B33" s="96"/>
      <c r="C33" s="96"/>
      <c r="D33" s="96"/>
      <c r="E33" s="96"/>
      <c r="F33" s="96"/>
      <c r="G33" s="96"/>
      <c r="H33" s="96"/>
      <c r="I33" s="96"/>
      <c r="J33" s="96"/>
      <c r="K33" s="96"/>
      <c r="L33" s="96"/>
      <c r="M33" s="96"/>
      <c r="N33" s="96"/>
      <c r="O33" s="96"/>
      <c r="P33" s="96"/>
      <c r="Q33" s="96"/>
      <c r="R33" s="116"/>
      <c r="S33" s="116"/>
    </row>
    <row r="34" spans="1:21" s="39" customFormat="1">
      <c r="A34" s="96"/>
      <c r="B34" s="96"/>
      <c r="C34" s="96"/>
      <c r="D34" s="96"/>
      <c r="E34" s="96"/>
      <c r="F34" s="96"/>
      <c r="G34" s="96"/>
      <c r="H34" s="96"/>
      <c r="I34" s="96"/>
      <c r="J34" s="96"/>
      <c r="K34" s="96"/>
      <c r="L34" s="96"/>
      <c r="M34" s="96"/>
      <c r="N34" s="96"/>
      <c r="O34" s="96"/>
      <c r="P34" s="96"/>
      <c r="Q34" s="96"/>
    </row>
    <row r="35" spans="1:21" s="39" customFormat="1">
      <c r="A35" s="96"/>
      <c r="B35" s="96"/>
      <c r="C35" s="96"/>
      <c r="D35" s="96"/>
      <c r="E35" s="96"/>
      <c r="F35" s="96"/>
      <c r="G35" s="96"/>
      <c r="H35" s="96"/>
      <c r="I35" s="96"/>
      <c r="J35" s="96"/>
      <c r="K35" s="96"/>
      <c r="L35" s="96"/>
      <c r="M35" s="96"/>
      <c r="N35" s="96"/>
      <c r="O35" s="96"/>
      <c r="P35" s="96"/>
      <c r="Q35" s="96"/>
    </row>
    <row r="36" spans="1:21" s="39" customFormat="1">
      <c r="A36" s="96"/>
      <c r="B36" s="96"/>
      <c r="C36" s="96"/>
      <c r="D36" s="96"/>
      <c r="E36" s="96"/>
      <c r="F36" s="96"/>
      <c r="G36" s="96"/>
      <c r="H36" s="96"/>
      <c r="I36" s="96"/>
      <c r="J36" s="96"/>
      <c r="K36" s="96"/>
      <c r="L36" s="96"/>
      <c r="M36" s="96"/>
      <c r="N36" s="96"/>
      <c r="O36" s="96"/>
      <c r="P36" s="96"/>
      <c r="Q36" s="96"/>
      <c r="U36" s="88"/>
    </row>
    <row r="37" spans="1:21" s="39" customFormat="1">
      <c r="A37" s="77"/>
      <c r="B37" s="77"/>
      <c r="C37" s="77"/>
      <c r="D37" s="77"/>
      <c r="E37" s="77"/>
      <c r="F37" s="77"/>
      <c r="G37" s="77"/>
      <c r="H37" s="77"/>
      <c r="I37" s="77"/>
      <c r="J37" s="77"/>
      <c r="K37" s="77"/>
      <c r="L37" s="77"/>
      <c r="M37" s="77"/>
      <c r="N37" s="77"/>
      <c r="O37" s="77"/>
      <c r="P37" s="77"/>
      <c r="Q37" s="77"/>
    </row>
    <row r="38" spans="1:21" s="39" customFormat="1">
      <c r="A38" s="77"/>
      <c r="B38" s="77"/>
      <c r="C38" s="77"/>
      <c r="D38" s="77"/>
      <c r="E38" s="77"/>
      <c r="F38" s="77"/>
      <c r="G38" s="77"/>
      <c r="H38" s="77"/>
      <c r="I38" s="77"/>
      <c r="J38" s="77"/>
      <c r="K38" s="77"/>
      <c r="L38" s="77"/>
      <c r="M38" s="77"/>
      <c r="N38" s="77"/>
      <c r="O38" s="77"/>
      <c r="P38" s="77"/>
      <c r="Q38" s="77"/>
    </row>
    <row r="39" spans="1:21" s="39" customFormat="1">
      <c r="A39" s="77"/>
      <c r="B39" s="77"/>
      <c r="C39" s="77"/>
      <c r="D39" s="77"/>
      <c r="E39" s="77"/>
      <c r="F39" s="77"/>
      <c r="G39" s="77"/>
      <c r="H39" s="77"/>
      <c r="I39" s="77"/>
      <c r="J39" s="77"/>
      <c r="K39" s="77"/>
      <c r="L39" s="77"/>
      <c r="M39" s="77"/>
      <c r="N39" s="77"/>
      <c r="O39" s="77"/>
      <c r="P39" s="77"/>
      <c r="Q39" s="77"/>
    </row>
    <row r="40" spans="1:21" s="39" customFormat="1">
      <c r="A40" s="77"/>
      <c r="B40" s="77"/>
      <c r="C40" s="77"/>
      <c r="D40" s="77"/>
      <c r="E40" s="77"/>
      <c r="F40" s="77"/>
      <c r="G40" s="77"/>
      <c r="H40" s="77"/>
      <c r="I40" s="77"/>
      <c r="J40" s="77"/>
      <c r="K40" s="77"/>
      <c r="L40" s="77"/>
      <c r="M40" s="77"/>
      <c r="N40" s="77"/>
      <c r="O40" s="77"/>
      <c r="P40" s="77"/>
      <c r="Q40" s="77"/>
    </row>
    <row r="41" spans="1:21" s="39" customFormat="1">
      <c r="A41" s="77"/>
      <c r="B41" s="77"/>
      <c r="C41" s="77"/>
      <c r="D41" s="77"/>
      <c r="E41" s="77"/>
      <c r="F41" s="77"/>
      <c r="G41" s="77"/>
      <c r="H41" s="77"/>
      <c r="I41" s="77"/>
      <c r="J41" s="77"/>
      <c r="K41" s="77"/>
      <c r="L41" s="77"/>
      <c r="M41" s="77"/>
      <c r="N41" s="77"/>
      <c r="O41" s="77"/>
      <c r="P41" s="77"/>
      <c r="Q41" s="77"/>
    </row>
    <row r="42" spans="1:21" s="39" customFormat="1">
      <c r="A42" s="77"/>
      <c r="B42" s="77"/>
      <c r="C42" s="77"/>
      <c r="D42" s="77"/>
      <c r="E42" s="77"/>
      <c r="F42" s="77"/>
      <c r="G42" s="77"/>
      <c r="H42" s="77"/>
      <c r="I42" s="77"/>
      <c r="J42" s="77"/>
      <c r="K42" s="77"/>
      <c r="L42" s="77"/>
      <c r="M42" s="77"/>
      <c r="N42" s="77"/>
      <c r="O42" s="77"/>
      <c r="P42" s="77"/>
      <c r="Q42" s="77"/>
    </row>
    <row r="43" spans="1:21" s="39" customFormat="1">
      <c r="A43" s="77"/>
      <c r="B43" s="77"/>
      <c r="C43" s="77"/>
      <c r="D43" s="77"/>
      <c r="E43" s="77"/>
      <c r="F43" s="77"/>
      <c r="G43" s="77"/>
      <c r="H43" s="77"/>
      <c r="I43" s="77"/>
      <c r="J43" s="77"/>
      <c r="K43" s="77"/>
      <c r="L43" s="77"/>
      <c r="M43" s="77"/>
      <c r="N43" s="77"/>
      <c r="O43" s="77"/>
      <c r="P43" s="77"/>
      <c r="Q43" s="77"/>
    </row>
    <row r="44" spans="1:21" s="39" customFormat="1">
      <c r="A44" s="77"/>
      <c r="B44" s="77"/>
      <c r="C44" s="77"/>
      <c r="D44" s="77"/>
      <c r="E44" s="77"/>
      <c r="F44" s="77"/>
      <c r="G44" s="77"/>
      <c r="H44" s="77"/>
      <c r="I44" s="77"/>
      <c r="J44" s="77"/>
      <c r="K44" s="77"/>
      <c r="L44" s="77"/>
      <c r="M44" s="77"/>
      <c r="N44" s="77"/>
      <c r="O44" s="77"/>
      <c r="P44" s="77"/>
      <c r="Q44" s="77"/>
    </row>
    <row r="45" spans="1:21" s="39" customFormat="1">
      <c r="A45" s="77"/>
      <c r="B45" s="77"/>
      <c r="C45" s="77"/>
      <c r="D45" s="77"/>
      <c r="E45" s="77"/>
      <c r="F45" s="77"/>
      <c r="G45" s="77"/>
      <c r="H45" s="77"/>
      <c r="I45" s="77"/>
      <c r="J45" s="77"/>
      <c r="K45" s="77"/>
      <c r="L45" s="77"/>
      <c r="M45" s="77"/>
      <c r="N45" s="77"/>
      <c r="O45" s="77"/>
      <c r="P45" s="77"/>
      <c r="Q45" s="77"/>
    </row>
    <row r="46" spans="1:21" s="39" customFormat="1">
      <c r="A46" s="77"/>
      <c r="B46" s="77"/>
      <c r="C46" s="77"/>
      <c r="D46" s="77"/>
      <c r="E46" s="77"/>
      <c r="F46" s="77"/>
      <c r="G46" s="77"/>
      <c r="H46" s="77"/>
      <c r="I46" s="77"/>
      <c r="J46" s="77"/>
      <c r="K46" s="77"/>
      <c r="L46" s="77"/>
      <c r="M46" s="77"/>
      <c r="N46" s="77"/>
      <c r="O46" s="77"/>
      <c r="P46" s="77"/>
      <c r="Q46" s="77"/>
    </row>
    <row r="47" spans="1:21" s="39" customFormat="1">
      <c r="A47" s="77"/>
      <c r="B47" s="77"/>
      <c r="C47" s="77"/>
      <c r="D47" s="77"/>
      <c r="E47" s="77"/>
      <c r="F47" s="77"/>
      <c r="G47" s="77"/>
      <c r="H47" s="77"/>
      <c r="I47" s="77"/>
      <c r="J47" s="77"/>
      <c r="K47" s="77"/>
      <c r="L47" s="77"/>
      <c r="M47" s="77"/>
      <c r="N47" s="77"/>
      <c r="O47" s="77"/>
      <c r="P47" s="77"/>
      <c r="Q47" s="77"/>
    </row>
    <row r="48" spans="1:21"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row r="109" spans="1:17" s="39" customFormat="1"/>
    <row r="110" spans="1:17" s="39" customFormat="1"/>
    <row r="111" spans="1:17"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1"/>
  <sheetViews>
    <sheetView showGridLines="0" view="pageBreakPreview" topLeftCell="C1" zoomScale="70" zoomScaleNormal="78" zoomScaleSheetLayoutView="70" workbookViewId="0">
      <pane ySplit="1" topLeftCell="A4" activePane="bottomLeft" state="frozen"/>
      <selection pane="bottomLeft" activeCell="S23" sqref="S23"/>
    </sheetView>
  </sheetViews>
  <sheetFormatPr baseColWidth="10" defaultColWidth="11.42578125" defaultRowHeight="15"/>
  <cols>
    <col min="1" max="1" width="14" style="77" customWidth="1"/>
    <col min="2" max="2" width="8.5703125" style="77" customWidth="1"/>
    <col min="3" max="3" width="10.28515625" style="77" customWidth="1"/>
    <col min="4" max="4" width="11.28515625" style="77" customWidth="1"/>
    <col min="5" max="5" width="12.140625" style="77" customWidth="1"/>
    <col min="6" max="6" width="13.85546875" style="77" customWidth="1"/>
    <col min="7" max="7" width="10.7109375" style="77" customWidth="1"/>
    <col min="8" max="8" width="12.85546875" style="77" customWidth="1"/>
    <col min="9" max="9" width="14.85546875" style="77" customWidth="1"/>
    <col min="10" max="10" width="14.7109375" style="77" customWidth="1"/>
    <col min="11" max="11" width="11" style="77" customWidth="1"/>
    <col min="12" max="12" width="13.85546875" style="77" customWidth="1"/>
    <col min="13" max="13" width="14.5703125" style="77" customWidth="1"/>
    <col min="14" max="14" width="16.42578125" style="77" customWidth="1"/>
    <col min="15" max="15" width="18.7109375" style="77" customWidth="1"/>
    <col min="16" max="16" width="16.28515625" style="77" customWidth="1"/>
    <col min="17" max="17" width="15.28515625" style="77" customWidth="1"/>
    <col min="18" max="18" width="12.140625" style="77" customWidth="1"/>
    <col min="19" max="19" width="20.28515625" style="77" customWidth="1"/>
    <col min="20" max="16384" width="11.42578125" style="77"/>
  </cols>
  <sheetData>
    <row r="1" spans="1:20" ht="85.5" customHeight="1">
      <c r="A1" s="1880"/>
      <c r="B1" s="1880"/>
      <c r="C1" s="1880"/>
      <c r="D1" s="1880"/>
      <c r="E1" s="1880"/>
      <c r="F1" s="1880"/>
      <c r="G1" s="1880"/>
      <c r="H1" s="1880"/>
      <c r="I1" s="1880"/>
      <c r="J1" s="1880"/>
      <c r="K1" s="1880"/>
      <c r="L1" s="1880"/>
      <c r="M1" s="1880"/>
      <c r="N1" s="1880"/>
      <c r="O1" s="1880"/>
      <c r="P1" s="1880"/>
      <c r="Q1" s="1880"/>
    </row>
    <row r="2" spans="1:20" s="38" customFormat="1" ht="7.5" customHeight="1">
      <c r="A2" s="1897" t="s">
        <v>639</v>
      </c>
      <c r="B2" s="1897"/>
      <c r="C2" s="1897"/>
      <c r="D2" s="1897"/>
      <c r="E2" s="1897"/>
      <c r="F2" s="1897"/>
      <c r="G2" s="1897"/>
      <c r="H2" s="1897"/>
      <c r="I2" s="1897"/>
      <c r="J2" s="1897"/>
      <c r="K2" s="1897"/>
      <c r="L2" s="1897"/>
      <c r="M2" s="1897"/>
      <c r="N2" s="1897"/>
      <c r="O2" s="1897"/>
      <c r="P2" s="1897"/>
      <c r="Q2" s="1897"/>
    </row>
    <row r="3" spans="1:20" s="39" customFormat="1" ht="23.25" customHeight="1">
      <c r="A3" s="1898" t="s">
        <v>223</v>
      </c>
      <c r="B3" s="1899"/>
      <c r="C3" s="1899"/>
      <c r="D3" s="1899"/>
      <c r="E3" s="1899"/>
      <c r="F3" s="1899"/>
      <c r="G3" s="1899"/>
      <c r="H3" s="1899"/>
      <c r="I3" s="1899"/>
      <c r="J3" s="1899"/>
      <c r="K3" s="1899"/>
      <c r="L3" s="1899"/>
      <c r="M3" s="1899"/>
      <c r="N3" s="1899"/>
      <c r="O3" s="1899"/>
      <c r="P3" s="1899"/>
      <c r="Q3" s="1900"/>
    </row>
    <row r="4" spans="1:20" s="197" customFormat="1" ht="33" customHeight="1">
      <c r="A4" s="423" t="s">
        <v>47</v>
      </c>
      <c r="B4" s="493" t="s">
        <v>86</v>
      </c>
      <c r="C4" s="493" t="s">
        <v>87</v>
      </c>
      <c r="D4" s="493" t="s">
        <v>88</v>
      </c>
      <c r="E4" s="493" t="s">
        <v>89</v>
      </c>
      <c r="F4" s="493" t="s">
        <v>90</v>
      </c>
      <c r="G4" s="493" t="s">
        <v>91</v>
      </c>
      <c r="H4" s="493" t="s">
        <v>92</v>
      </c>
      <c r="I4" s="328" t="s">
        <v>93</v>
      </c>
      <c r="J4" s="493" t="s">
        <v>94</v>
      </c>
      <c r="K4" s="423" t="s">
        <v>95</v>
      </c>
      <c r="L4" s="493" t="s">
        <v>96</v>
      </c>
      <c r="M4" s="328" t="s">
        <v>453</v>
      </c>
      <c r="N4" s="493" t="s">
        <v>85</v>
      </c>
      <c r="O4" s="328" t="s">
        <v>198</v>
      </c>
      <c r="P4" s="330" t="s">
        <v>99</v>
      </c>
      <c r="Q4" s="498" t="s">
        <v>100</v>
      </c>
      <c r="S4" s="819"/>
    </row>
    <row r="5" spans="1:20" s="39" customFormat="1" ht="15.75">
      <c r="A5" s="494">
        <v>2005</v>
      </c>
      <c r="B5" s="492">
        <v>0</v>
      </c>
      <c r="C5" s="492">
        <v>4</v>
      </c>
      <c r="D5" s="492">
        <v>279</v>
      </c>
      <c r="E5" s="492">
        <v>115</v>
      </c>
      <c r="F5" s="492">
        <v>0</v>
      </c>
      <c r="G5" s="492">
        <v>128</v>
      </c>
      <c r="H5" s="492">
        <v>3</v>
      </c>
      <c r="I5" s="492">
        <v>68</v>
      </c>
      <c r="J5" s="492">
        <v>136</v>
      </c>
      <c r="K5" s="497">
        <f t="shared" ref="K5:K15" si="0">SUM(B5:J5)</f>
        <v>733</v>
      </c>
      <c r="L5" s="492">
        <v>0</v>
      </c>
      <c r="M5" s="492">
        <v>0</v>
      </c>
      <c r="N5" s="492">
        <v>0</v>
      </c>
      <c r="O5" s="492">
        <v>0</v>
      </c>
      <c r="P5" s="499">
        <f>SUM(L5:O5)</f>
        <v>0</v>
      </c>
      <c r="Q5" s="497">
        <f>K5+P5</f>
        <v>733</v>
      </c>
      <c r="S5" s="197"/>
      <c r="T5" s="197"/>
    </row>
    <row r="6" spans="1:20" s="39" customFormat="1" ht="15.75">
      <c r="A6" s="494">
        <v>2006</v>
      </c>
      <c r="B6" s="492">
        <v>0</v>
      </c>
      <c r="C6" s="492">
        <v>19</v>
      </c>
      <c r="D6" s="492">
        <v>349</v>
      </c>
      <c r="E6" s="492">
        <v>176</v>
      </c>
      <c r="F6" s="492">
        <v>0</v>
      </c>
      <c r="G6" s="492">
        <v>1070</v>
      </c>
      <c r="H6" s="492">
        <v>19</v>
      </c>
      <c r="I6" s="492">
        <v>94</v>
      </c>
      <c r="J6" s="492">
        <v>112</v>
      </c>
      <c r="K6" s="497">
        <f t="shared" si="0"/>
        <v>1839</v>
      </c>
      <c r="L6" s="492">
        <v>0</v>
      </c>
      <c r="M6" s="492">
        <v>0</v>
      </c>
      <c r="N6" s="492">
        <v>0</v>
      </c>
      <c r="O6" s="492">
        <v>20</v>
      </c>
      <c r="P6" s="499">
        <f t="shared" ref="P6:P14" si="1">SUM(L6:O6)</f>
        <v>20</v>
      </c>
      <c r="Q6" s="497">
        <f>K6+P6</f>
        <v>1859</v>
      </c>
      <c r="S6" s="197"/>
      <c r="T6" s="197"/>
    </row>
    <row r="7" spans="1:20" s="39" customFormat="1" ht="15.75">
      <c r="A7" s="494">
        <v>2007</v>
      </c>
      <c r="B7" s="492">
        <v>0</v>
      </c>
      <c r="C7" s="492">
        <v>0</v>
      </c>
      <c r="D7" s="492">
        <v>57</v>
      </c>
      <c r="E7" s="492">
        <v>136</v>
      </c>
      <c r="F7" s="492">
        <v>0</v>
      </c>
      <c r="G7" s="492">
        <v>585</v>
      </c>
      <c r="H7" s="492">
        <v>8</v>
      </c>
      <c r="I7" s="492">
        <v>27</v>
      </c>
      <c r="J7" s="492">
        <v>434</v>
      </c>
      <c r="K7" s="497">
        <f t="shared" si="0"/>
        <v>1247</v>
      </c>
      <c r="L7" s="492">
        <v>0</v>
      </c>
      <c r="M7" s="492">
        <v>0</v>
      </c>
      <c r="N7" s="492">
        <v>0</v>
      </c>
      <c r="O7" s="492">
        <v>0</v>
      </c>
      <c r="P7" s="499">
        <f t="shared" si="1"/>
        <v>0</v>
      </c>
      <c r="Q7" s="497">
        <f>K7+P7</f>
        <v>1247</v>
      </c>
      <c r="S7" s="197"/>
      <c r="T7" s="197"/>
    </row>
    <row r="8" spans="1:20" s="39" customFormat="1" ht="15.75">
      <c r="A8" s="494">
        <v>2008</v>
      </c>
      <c r="B8" s="492">
        <v>0</v>
      </c>
      <c r="C8" s="492">
        <v>0</v>
      </c>
      <c r="D8" s="492">
        <v>0</v>
      </c>
      <c r="E8" s="492">
        <v>217</v>
      </c>
      <c r="F8" s="492">
        <v>0</v>
      </c>
      <c r="G8" s="492">
        <v>497</v>
      </c>
      <c r="H8" s="492">
        <v>3</v>
      </c>
      <c r="I8" s="492">
        <v>131</v>
      </c>
      <c r="J8" s="492">
        <v>180</v>
      </c>
      <c r="K8" s="497">
        <f t="shared" si="0"/>
        <v>1028</v>
      </c>
      <c r="L8" s="492">
        <v>0</v>
      </c>
      <c r="M8" s="492">
        <v>0</v>
      </c>
      <c r="N8" s="492">
        <v>0</v>
      </c>
      <c r="O8" s="492">
        <v>0</v>
      </c>
      <c r="P8" s="499">
        <f t="shared" si="1"/>
        <v>0</v>
      </c>
      <c r="Q8" s="497">
        <f>K8+P8</f>
        <v>1028</v>
      </c>
      <c r="S8" s="197"/>
      <c r="T8" s="197"/>
    </row>
    <row r="9" spans="1:20" s="39" customFormat="1" ht="15.75">
      <c r="A9" s="494">
        <v>2009</v>
      </c>
      <c r="B9" s="492">
        <v>0</v>
      </c>
      <c r="C9" s="492">
        <v>0</v>
      </c>
      <c r="D9" s="492">
        <v>0</v>
      </c>
      <c r="E9" s="492">
        <v>174</v>
      </c>
      <c r="F9" s="492">
        <v>0</v>
      </c>
      <c r="G9" s="492">
        <v>1232</v>
      </c>
      <c r="H9" s="492">
        <v>3</v>
      </c>
      <c r="I9" s="492">
        <v>52</v>
      </c>
      <c r="J9" s="492">
        <v>105</v>
      </c>
      <c r="K9" s="497">
        <f t="shared" si="0"/>
        <v>1566</v>
      </c>
      <c r="L9" s="492">
        <v>0</v>
      </c>
      <c r="M9" s="492">
        <v>0</v>
      </c>
      <c r="N9" s="492">
        <v>21139</v>
      </c>
      <c r="O9" s="492">
        <v>2582</v>
      </c>
      <c r="P9" s="499">
        <f t="shared" si="1"/>
        <v>23721</v>
      </c>
      <c r="Q9" s="497">
        <f>K9+P9</f>
        <v>25287</v>
      </c>
      <c r="S9" s="197"/>
      <c r="T9" s="197"/>
    </row>
    <row r="10" spans="1:20" s="39" customFormat="1" ht="15.75">
      <c r="A10" s="494">
        <v>2010</v>
      </c>
      <c r="B10" s="492">
        <v>0</v>
      </c>
      <c r="C10" s="492">
        <v>0</v>
      </c>
      <c r="D10" s="492">
        <v>0</v>
      </c>
      <c r="E10" s="492">
        <v>505</v>
      </c>
      <c r="F10" s="492">
        <v>0</v>
      </c>
      <c r="G10" s="492">
        <v>2471</v>
      </c>
      <c r="H10" s="492">
        <v>2</v>
      </c>
      <c r="I10" s="492">
        <v>116</v>
      </c>
      <c r="J10" s="492">
        <v>125</v>
      </c>
      <c r="K10" s="497">
        <f t="shared" si="0"/>
        <v>3219</v>
      </c>
      <c r="L10" s="492">
        <v>0</v>
      </c>
      <c r="M10" s="492">
        <v>1</v>
      </c>
      <c r="N10" s="492">
        <v>3310</v>
      </c>
      <c r="O10" s="492">
        <v>4114</v>
      </c>
      <c r="P10" s="499">
        <f t="shared" si="1"/>
        <v>7425</v>
      </c>
      <c r="Q10" s="497">
        <f t="shared" ref="Q10:Q15" si="2">K10+P10</f>
        <v>10644</v>
      </c>
      <c r="S10" s="197"/>
      <c r="T10" s="197"/>
    </row>
    <row r="11" spans="1:20" s="39" customFormat="1" ht="15.75">
      <c r="A11" s="494">
        <v>2011</v>
      </c>
      <c r="B11" s="492">
        <v>0</v>
      </c>
      <c r="C11" s="492">
        <v>0</v>
      </c>
      <c r="D11" s="492">
        <v>0</v>
      </c>
      <c r="E11" s="492">
        <v>572</v>
      </c>
      <c r="F11" s="492">
        <v>0</v>
      </c>
      <c r="G11" s="492">
        <v>3158</v>
      </c>
      <c r="H11" s="492">
        <v>8</v>
      </c>
      <c r="I11" s="492">
        <v>306</v>
      </c>
      <c r="J11" s="492">
        <v>247</v>
      </c>
      <c r="K11" s="497">
        <f t="shared" si="0"/>
        <v>4291</v>
      </c>
      <c r="L11" s="492">
        <v>0</v>
      </c>
      <c r="M11" s="492">
        <v>0</v>
      </c>
      <c r="N11" s="492">
        <v>1778</v>
      </c>
      <c r="O11" s="492">
        <v>199</v>
      </c>
      <c r="P11" s="499">
        <f t="shared" si="1"/>
        <v>1977</v>
      </c>
      <c r="Q11" s="497">
        <f t="shared" si="2"/>
        <v>6268</v>
      </c>
      <c r="S11" s="197"/>
      <c r="T11" s="197"/>
    </row>
    <row r="12" spans="1:20" s="39" customFormat="1" ht="15.75">
      <c r="A12" s="494" t="s">
        <v>485</v>
      </c>
      <c r="B12" s="492">
        <v>0</v>
      </c>
      <c r="C12" s="492">
        <v>0</v>
      </c>
      <c r="D12" s="492">
        <v>0</v>
      </c>
      <c r="E12" s="492">
        <v>1014</v>
      </c>
      <c r="F12" s="492">
        <v>0</v>
      </c>
      <c r="G12" s="492">
        <v>3741</v>
      </c>
      <c r="H12" s="492">
        <v>11</v>
      </c>
      <c r="I12" s="492">
        <v>1022</v>
      </c>
      <c r="J12" s="492">
        <v>783</v>
      </c>
      <c r="K12" s="497">
        <f t="shared" si="0"/>
        <v>6571</v>
      </c>
      <c r="L12" s="492">
        <v>0</v>
      </c>
      <c r="M12" s="492">
        <v>513</v>
      </c>
      <c r="N12" s="492">
        <v>2945</v>
      </c>
      <c r="O12" s="492">
        <v>17</v>
      </c>
      <c r="P12" s="499">
        <f t="shared" si="1"/>
        <v>3475</v>
      </c>
      <c r="Q12" s="497">
        <f t="shared" si="2"/>
        <v>10046</v>
      </c>
      <c r="S12" s="197"/>
      <c r="T12" s="197"/>
    </row>
    <row r="13" spans="1:20" s="39" customFormat="1" ht="15.75">
      <c r="A13" s="494" t="s">
        <v>573</v>
      </c>
      <c r="B13" s="492">
        <v>0</v>
      </c>
      <c r="C13" s="492">
        <v>0</v>
      </c>
      <c r="D13" s="492">
        <v>0</v>
      </c>
      <c r="E13" s="492">
        <v>1482</v>
      </c>
      <c r="F13" s="492">
        <v>0</v>
      </c>
      <c r="G13" s="492">
        <v>7614</v>
      </c>
      <c r="H13" s="492">
        <v>7</v>
      </c>
      <c r="I13" s="492">
        <v>1578</v>
      </c>
      <c r="J13" s="492">
        <v>1278</v>
      </c>
      <c r="K13" s="497">
        <f t="shared" si="0"/>
        <v>11959</v>
      </c>
      <c r="L13" s="492">
        <v>0</v>
      </c>
      <c r="M13" s="492">
        <v>0</v>
      </c>
      <c r="N13" s="492">
        <v>2249</v>
      </c>
      <c r="O13" s="492">
        <v>1532</v>
      </c>
      <c r="P13" s="499">
        <f t="shared" si="1"/>
        <v>3781</v>
      </c>
      <c r="Q13" s="497">
        <f t="shared" si="2"/>
        <v>15740</v>
      </c>
      <c r="S13" s="197"/>
      <c r="T13" s="197"/>
    </row>
    <row r="14" spans="1:20" s="39" customFormat="1" ht="15.75">
      <c r="A14" s="494" t="s">
        <v>581</v>
      </c>
      <c r="B14" s="492">
        <v>0</v>
      </c>
      <c r="C14" s="492">
        <v>0</v>
      </c>
      <c r="D14" s="492">
        <v>0</v>
      </c>
      <c r="E14" s="492">
        <f>233+2235</f>
        <v>2468</v>
      </c>
      <c r="F14" s="492">
        <v>0</v>
      </c>
      <c r="G14" s="492">
        <f>1369+13437</f>
        <v>14806</v>
      </c>
      <c r="H14" s="492">
        <f>127+641</f>
        <v>768</v>
      </c>
      <c r="I14" s="492">
        <f>298+4015</f>
        <v>4313</v>
      </c>
      <c r="J14" s="492">
        <f>232+2281</f>
        <v>2513</v>
      </c>
      <c r="K14" s="497">
        <f t="shared" si="0"/>
        <v>24868</v>
      </c>
      <c r="L14" s="492">
        <v>0</v>
      </c>
      <c r="M14" s="492">
        <v>0</v>
      </c>
      <c r="N14" s="492">
        <f>1036+5999</f>
        <v>7035</v>
      </c>
      <c r="O14" s="492">
        <v>462</v>
      </c>
      <c r="P14" s="499">
        <f t="shared" si="1"/>
        <v>7497</v>
      </c>
      <c r="Q14" s="497">
        <f t="shared" si="2"/>
        <v>32365</v>
      </c>
      <c r="S14" s="197"/>
      <c r="T14" s="197"/>
    </row>
    <row r="15" spans="1:20" s="39" customFormat="1" ht="15.75">
      <c r="A15" s="494" t="s">
        <v>946</v>
      </c>
      <c r="B15" s="492">
        <v>0</v>
      </c>
      <c r="C15" s="492">
        <v>0</v>
      </c>
      <c r="D15" s="492">
        <v>0</v>
      </c>
      <c r="E15" s="492">
        <v>1539</v>
      </c>
      <c r="F15" s="492">
        <v>0</v>
      </c>
      <c r="G15" s="492">
        <v>8258</v>
      </c>
      <c r="H15" s="492">
        <v>521</v>
      </c>
      <c r="I15" s="492">
        <v>2022</v>
      </c>
      <c r="J15" s="492">
        <v>1737</v>
      </c>
      <c r="K15" s="497">
        <f t="shared" si="0"/>
        <v>14077</v>
      </c>
      <c r="L15" s="492">
        <v>0</v>
      </c>
      <c r="M15" s="492">
        <v>11</v>
      </c>
      <c r="N15" s="492">
        <v>1276</v>
      </c>
      <c r="O15" s="492">
        <f>50+98</f>
        <v>148</v>
      </c>
      <c r="P15" s="499">
        <f>SUM(L15:O15)</f>
        <v>1435</v>
      </c>
      <c r="Q15" s="497">
        <f t="shared" si="2"/>
        <v>15512</v>
      </c>
      <c r="S15" s="197"/>
      <c r="T15" s="197"/>
    </row>
    <row r="16" spans="1:20" s="39" customFormat="1" ht="15.75">
      <c r="A16" s="423" t="s">
        <v>23</v>
      </c>
      <c r="B16" s="496">
        <f>SUM(B5:B15)</f>
        <v>0</v>
      </c>
      <c r="C16" s="496">
        <f t="shared" ref="C16:O16" si="3">SUM(C5:C15)</f>
        <v>23</v>
      </c>
      <c r="D16" s="496">
        <f t="shared" si="3"/>
        <v>685</v>
      </c>
      <c r="E16" s="496">
        <f t="shared" si="3"/>
        <v>8398</v>
      </c>
      <c r="F16" s="496">
        <f t="shared" si="3"/>
        <v>0</v>
      </c>
      <c r="G16" s="496">
        <f t="shared" si="3"/>
        <v>43560</v>
      </c>
      <c r="H16" s="496">
        <f t="shared" si="3"/>
        <v>1353</v>
      </c>
      <c r="I16" s="496">
        <f t="shared" si="3"/>
        <v>9729</v>
      </c>
      <c r="J16" s="496">
        <f t="shared" si="3"/>
        <v>7650</v>
      </c>
      <c r="K16" s="1140">
        <f t="shared" si="3"/>
        <v>71398</v>
      </c>
      <c r="L16" s="496">
        <f t="shared" si="3"/>
        <v>0</v>
      </c>
      <c r="M16" s="496">
        <f>SUM(M5:M15)</f>
        <v>525</v>
      </c>
      <c r="N16" s="496">
        <f t="shared" si="3"/>
        <v>39732</v>
      </c>
      <c r="O16" s="496">
        <f t="shared" si="3"/>
        <v>9074</v>
      </c>
      <c r="P16" s="1141">
        <f>SUM(P5:P15)</f>
        <v>49331</v>
      </c>
      <c r="Q16" s="1140">
        <f>+Q15+Q14+Q13+Q12+Q11+Q10+Q9+Q8+Q7+Q6+Q5</f>
        <v>120729</v>
      </c>
      <c r="R16" s="819"/>
      <c r="S16" s="197"/>
      <c r="T16" s="197"/>
    </row>
    <row r="17" spans="1:20" s="39" customFormat="1">
      <c r="A17" s="96"/>
      <c r="B17" s="96"/>
      <c r="C17" s="96"/>
      <c r="D17" s="96"/>
      <c r="E17" s="77"/>
      <c r="F17" s="77"/>
      <c r="G17" s="77"/>
      <c r="H17" s="96"/>
      <c r="I17" s="96"/>
      <c r="J17" s="96"/>
      <c r="K17" s="96"/>
      <c r="L17" s="96" t="s">
        <v>219</v>
      </c>
      <c r="M17" s="96"/>
      <c r="N17" s="96"/>
      <c r="O17" s="96"/>
      <c r="P17" s="96"/>
      <c r="Q17" s="96"/>
      <c r="S17" s="197"/>
      <c r="T17" s="197"/>
    </row>
    <row r="18" spans="1:20" s="39" customFormat="1">
      <c r="A18" s="96"/>
      <c r="B18" s="96"/>
      <c r="C18" s="44"/>
      <c r="D18" s="44"/>
      <c r="E18" s="44"/>
      <c r="F18" s="44"/>
      <c r="G18" s="61"/>
      <c r="H18" s="44"/>
      <c r="I18" s="61"/>
      <c r="J18" s="44"/>
      <c r="K18" s="44"/>
      <c r="L18" s="44"/>
      <c r="M18" s="44"/>
      <c r="N18" s="44"/>
      <c r="O18" s="44"/>
      <c r="P18" s="61"/>
      <c r="Q18" s="24"/>
    </row>
    <row r="19" spans="1:20" s="39" customFormat="1">
      <c r="A19" s="96"/>
      <c r="B19" s="96"/>
      <c r="C19" s="44"/>
      <c r="D19" s="44"/>
      <c r="E19" s="44"/>
      <c r="F19" s="44"/>
      <c r="G19" s="61"/>
      <c r="H19" s="44"/>
      <c r="I19" s="61"/>
      <c r="J19" s="44"/>
      <c r="K19" s="44"/>
      <c r="L19" s="44"/>
      <c r="M19" s="61"/>
      <c r="N19" s="44"/>
      <c r="O19" s="44"/>
      <c r="P19" s="44"/>
      <c r="Q19" s="44"/>
    </row>
    <row r="20" spans="1:20" s="39" customFormat="1">
      <c r="A20" s="96"/>
      <c r="B20" s="96"/>
      <c r="C20" s="44"/>
      <c r="D20" s="44"/>
      <c r="E20" s="44"/>
      <c r="F20" s="44"/>
      <c r="G20" s="61"/>
      <c r="H20" s="44"/>
      <c r="I20" s="61"/>
      <c r="J20" s="44"/>
      <c r="K20" s="44"/>
      <c r="L20" s="44"/>
      <c r="M20" s="61"/>
      <c r="N20" s="44"/>
      <c r="O20" s="44"/>
      <c r="P20" s="44"/>
      <c r="Q20" s="44"/>
    </row>
    <row r="21" spans="1:20" s="39" customFormat="1">
      <c r="A21" s="96"/>
      <c r="B21" s="96"/>
      <c r="C21" s="44"/>
      <c r="D21" s="44"/>
      <c r="E21" s="44"/>
      <c r="F21" s="44"/>
      <c r="G21" s="61"/>
      <c r="H21" s="44"/>
      <c r="I21" s="61"/>
      <c r="J21" s="44"/>
      <c r="K21" s="44"/>
      <c r="L21" s="44"/>
      <c r="M21" s="44"/>
      <c r="N21" s="44"/>
      <c r="O21" s="44"/>
      <c r="P21" s="61"/>
      <c r="Q21" s="44"/>
    </row>
    <row r="22" spans="1:20" s="39" customFormat="1">
      <c r="A22" s="96"/>
      <c r="B22" s="96"/>
      <c r="C22" s="44"/>
      <c r="D22" s="44"/>
      <c r="E22" s="44"/>
      <c r="F22" s="44"/>
      <c r="G22" s="61"/>
      <c r="H22" s="44"/>
      <c r="I22" s="61"/>
      <c r="J22" s="44"/>
      <c r="K22" s="44"/>
      <c r="L22" s="44"/>
      <c r="M22" s="61"/>
      <c r="N22" s="44"/>
      <c r="O22" s="44"/>
      <c r="P22" s="61"/>
      <c r="Q22" s="61"/>
    </row>
    <row r="23" spans="1:20" s="39" customFormat="1">
      <c r="A23" s="96"/>
      <c r="B23" s="96"/>
      <c r="C23" s="44"/>
      <c r="D23" s="44"/>
      <c r="E23" s="44"/>
      <c r="F23" s="44"/>
      <c r="G23" s="44"/>
      <c r="H23" s="44"/>
      <c r="I23" s="61"/>
      <c r="J23" s="44"/>
      <c r="K23" s="61"/>
      <c r="L23" s="61"/>
      <c r="M23" s="44"/>
      <c r="N23" s="44"/>
      <c r="O23" s="44"/>
      <c r="P23" s="44"/>
      <c r="Q23" s="44"/>
    </row>
    <row r="24" spans="1:20" s="39" customFormat="1">
      <c r="A24" s="96"/>
      <c r="B24" s="96"/>
      <c r="C24" s="44"/>
      <c r="D24" s="44"/>
      <c r="E24" s="44"/>
      <c r="F24" s="44"/>
      <c r="G24" s="44"/>
      <c r="H24" s="44"/>
      <c r="I24" s="61"/>
      <c r="J24" s="44"/>
      <c r="K24" s="44"/>
      <c r="L24" s="44"/>
      <c r="M24" s="61"/>
      <c r="N24" s="44"/>
      <c r="O24" s="44"/>
      <c r="P24" s="44"/>
      <c r="Q24" s="61"/>
    </row>
    <row r="25" spans="1:20" s="39" customFormat="1">
      <c r="A25" s="96"/>
      <c r="B25" s="96"/>
      <c r="C25" s="44"/>
      <c r="D25" s="44"/>
      <c r="E25" s="44"/>
      <c r="F25" s="44"/>
      <c r="G25" s="61"/>
      <c r="H25" s="44"/>
      <c r="I25" s="61"/>
      <c r="J25" s="44"/>
      <c r="K25" s="44"/>
      <c r="L25" s="44"/>
      <c r="M25" s="61"/>
      <c r="N25" s="44"/>
      <c r="O25" s="44"/>
      <c r="P25" s="44"/>
      <c r="Q25" s="61"/>
    </row>
    <row r="26" spans="1:20" s="39" customFormat="1">
      <c r="A26" s="96"/>
      <c r="B26" s="96"/>
      <c r="C26" s="96"/>
      <c r="D26" s="25"/>
      <c r="E26" s="25"/>
      <c r="F26" s="25"/>
      <c r="G26" s="26"/>
      <c r="H26" s="25"/>
      <c r="I26" s="26"/>
      <c r="J26" s="25"/>
      <c r="K26" s="26"/>
      <c r="L26" s="26"/>
      <c r="M26" s="26"/>
      <c r="N26" s="25"/>
      <c r="O26" s="25"/>
      <c r="P26" s="25"/>
      <c r="Q26" s="27"/>
    </row>
    <row r="27" spans="1:20" s="39" customFormat="1">
      <c r="A27" s="96"/>
      <c r="B27" s="96"/>
      <c r="C27" s="44"/>
      <c r="D27" s="44"/>
      <c r="E27" s="44"/>
      <c r="F27" s="44"/>
      <c r="G27" s="61"/>
      <c r="H27" s="44"/>
      <c r="I27" s="61"/>
      <c r="J27" s="44"/>
      <c r="K27" s="44"/>
      <c r="L27" s="44"/>
      <c r="M27" s="61"/>
      <c r="N27" s="44"/>
      <c r="O27" s="44"/>
      <c r="P27" s="61"/>
      <c r="Q27" s="61"/>
    </row>
    <row r="28" spans="1:20" s="39" customFormat="1">
      <c r="A28" s="96"/>
      <c r="B28" s="96"/>
      <c r="C28" s="96"/>
      <c r="D28" s="96"/>
      <c r="E28" s="96"/>
      <c r="F28" s="96"/>
      <c r="G28" s="96"/>
      <c r="H28" s="96"/>
      <c r="I28" s="96"/>
      <c r="J28" s="96"/>
      <c r="K28" s="96"/>
      <c r="L28" s="96"/>
      <c r="M28" s="96"/>
      <c r="N28" s="96"/>
      <c r="O28" s="96"/>
      <c r="P28" s="96"/>
      <c r="Q28" s="96"/>
    </row>
    <row r="29" spans="1:20" s="39" customFormat="1">
      <c r="A29" s="96"/>
      <c r="B29" s="96"/>
      <c r="C29" s="96"/>
      <c r="D29" s="96"/>
      <c r="E29" s="96"/>
      <c r="F29" s="96"/>
      <c r="G29" s="96"/>
      <c r="H29" s="96"/>
      <c r="I29" s="96"/>
      <c r="J29" s="96"/>
      <c r="K29" s="96"/>
      <c r="L29" s="96"/>
      <c r="M29" s="96"/>
      <c r="N29" s="96"/>
      <c r="O29" s="96"/>
      <c r="P29" s="96"/>
      <c r="Q29" s="96"/>
    </row>
    <row r="30" spans="1:20" s="39" customFormat="1">
      <c r="A30" s="96"/>
      <c r="B30" s="96"/>
      <c r="C30" s="96"/>
      <c r="D30" s="96"/>
      <c r="E30" s="96"/>
      <c r="F30" s="96"/>
      <c r="G30" s="96"/>
      <c r="H30" s="96"/>
      <c r="I30" s="96"/>
      <c r="J30" s="96"/>
      <c r="K30" s="96"/>
      <c r="L30" s="96"/>
      <c r="M30" s="96"/>
      <c r="N30" s="96"/>
      <c r="O30" s="96"/>
      <c r="P30" s="96"/>
      <c r="Q30" s="96"/>
    </row>
    <row r="31" spans="1:20" s="39" customFormat="1">
      <c r="A31" s="96"/>
      <c r="B31" s="96"/>
      <c r="C31" s="96"/>
      <c r="D31" s="96"/>
      <c r="E31" s="96"/>
      <c r="F31" s="96"/>
      <c r="G31" s="96"/>
      <c r="H31" s="96"/>
      <c r="I31" s="96"/>
      <c r="J31" s="96"/>
      <c r="K31" s="96"/>
      <c r="L31" s="96"/>
      <c r="M31" s="96"/>
      <c r="N31" s="96"/>
      <c r="O31" s="96"/>
      <c r="P31" s="96"/>
      <c r="Q31" s="96"/>
    </row>
    <row r="32" spans="1:20" s="39" customFormat="1">
      <c r="A32" s="96"/>
      <c r="B32" s="96"/>
      <c r="C32" s="96"/>
      <c r="D32" s="96"/>
      <c r="E32" s="96"/>
      <c r="F32" s="96"/>
      <c r="G32" s="96"/>
      <c r="H32" s="96"/>
      <c r="I32" s="96"/>
      <c r="J32" s="96"/>
      <c r="K32" s="96"/>
      <c r="L32" s="96"/>
      <c r="M32" s="96"/>
      <c r="N32" s="96"/>
      <c r="O32" s="96"/>
      <c r="P32" s="96"/>
      <c r="Q32" s="96"/>
    </row>
    <row r="33" spans="1:17" s="39" customFormat="1">
      <c r="A33" s="96"/>
      <c r="B33" s="96"/>
      <c r="C33" s="96"/>
      <c r="D33" s="96"/>
      <c r="E33" s="96"/>
      <c r="F33" s="96"/>
      <c r="G33" s="96"/>
      <c r="H33" s="96"/>
      <c r="I33" s="96"/>
      <c r="J33" s="96"/>
      <c r="K33" s="96"/>
      <c r="L33" s="96"/>
      <c r="M33" s="96"/>
      <c r="N33" s="96"/>
      <c r="O33" s="96"/>
      <c r="P33" s="96"/>
      <c r="Q33" s="96"/>
    </row>
    <row r="34" spans="1:17" s="39" customFormat="1">
      <c r="A34" s="96"/>
      <c r="B34" s="96"/>
      <c r="C34" s="96"/>
      <c r="D34" s="96"/>
      <c r="E34" s="96"/>
      <c r="F34" s="96"/>
      <c r="G34" s="96"/>
      <c r="H34" s="96"/>
      <c r="I34" s="96"/>
      <c r="J34" s="96"/>
      <c r="K34" s="96"/>
      <c r="L34" s="96"/>
      <c r="M34" s="96"/>
      <c r="N34" s="96"/>
      <c r="O34" s="96"/>
      <c r="P34" s="96"/>
      <c r="Q34" s="96"/>
    </row>
    <row r="35" spans="1:17" s="39" customFormat="1">
      <c r="A35" s="96"/>
      <c r="B35" s="96"/>
      <c r="C35" s="96"/>
      <c r="D35" s="96"/>
      <c r="E35" s="96"/>
      <c r="F35" s="96"/>
      <c r="G35" s="96"/>
      <c r="H35" s="96"/>
      <c r="I35" s="96"/>
      <c r="J35" s="96"/>
      <c r="K35" s="96"/>
      <c r="L35" s="96"/>
      <c r="M35" s="96"/>
      <c r="N35" s="96"/>
      <c r="O35" s="96"/>
      <c r="P35" s="96"/>
      <c r="Q35" s="96"/>
    </row>
    <row r="36" spans="1:17" s="39" customFormat="1">
      <c r="A36" s="96"/>
      <c r="B36" s="96"/>
      <c r="C36" s="96"/>
      <c r="D36" s="96"/>
      <c r="E36" s="96"/>
      <c r="F36" s="96"/>
      <c r="G36" s="96"/>
      <c r="H36" s="96"/>
      <c r="I36" s="96"/>
      <c r="J36" s="96"/>
      <c r="K36" s="96"/>
      <c r="L36" s="96"/>
      <c r="M36" s="96"/>
      <c r="N36" s="96"/>
      <c r="O36" s="96"/>
      <c r="P36" s="96"/>
      <c r="Q36" s="96"/>
    </row>
    <row r="37" spans="1:17" s="39" customFormat="1">
      <c r="A37" s="77"/>
      <c r="B37" s="77"/>
      <c r="C37" s="77"/>
      <c r="D37" s="77"/>
      <c r="E37" s="77"/>
      <c r="F37" s="77"/>
      <c r="G37" s="77"/>
      <c r="H37" s="77"/>
      <c r="I37" s="77"/>
      <c r="J37" s="77"/>
      <c r="K37" s="77"/>
      <c r="L37" s="77"/>
      <c r="M37" s="77"/>
      <c r="N37" s="77"/>
      <c r="O37" s="77"/>
      <c r="P37" s="77"/>
      <c r="Q37" s="77"/>
    </row>
    <row r="38" spans="1:17" s="39" customFormat="1">
      <c r="A38" s="77"/>
      <c r="B38" s="77"/>
      <c r="C38" s="77"/>
      <c r="D38" s="77"/>
      <c r="E38" s="77"/>
      <c r="F38" s="77"/>
      <c r="G38" s="77"/>
      <c r="H38" s="77"/>
      <c r="I38" s="77"/>
      <c r="J38" s="77"/>
      <c r="K38" s="77"/>
      <c r="L38" s="77"/>
      <c r="M38" s="77"/>
      <c r="N38" s="77"/>
      <c r="O38" s="77"/>
      <c r="P38" s="77"/>
      <c r="Q38" s="77"/>
    </row>
    <row r="39" spans="1:17" s="39" customFormat="1">
      <c r="A39" s="77"/>
      <c r="B39" s="77"/>
      <c r="C39" s="77"/>
      <c r="D39" s="77"/>
      <c r="E39" s="77"/>
      <c r="F39" s="77"/>
      <c r="G39" s="77"/>
      <c r="H39" s="77"/>
      <c r="I39" s="77"/>
      <c r="J39" s="77"/>
      <c r="K39" s="77"/>
      <c r="L39" s="77"/>
      <c r="M39" s="77"/>
      <c r="N39" s="77"/>
      <c r="O39" s="77"/>
      <c r="P39" s="77"/>
      <c r="Q39" s="77"/>
    </row>
    <row r="40" spans="1:17" s="39" customFormat="1">
      <c r="A40" s="77"/>
      <c r="B40" s="77"/>
      <c r="C40" s="77"/>
      <c r="D40" s="77"/>
      <c r="E40" s="77"/>
      <c r="F40" s="77"/>
      <c r="G40" s="77"/>
      <c r="H40" s="77"/>
      <c r="I40" s="77"/>
      <c r="J40" s="77"/>
      <c r="K40" s="77"/>
      <c r="L40" s="77"/>
      <c r="M40" s="77"/>
      <c r="N40" s="77"/>
      <c r="O40" s="77"/>
      <c r="P40" s="77"/>
      <c r="Q40" s="77"/>
    </row>
    <row r="41" spans="1:17" s="39" customFormat="1">
      <c r="A41" s="77"/>
      <c r="B41" s="77"/>
      <c r="C41" s="77"/>
      <c r="D41" s="77"/>
      <c r="E41" s="77"/>
      <c r="F41" s="77"/>
      <c r="G41" s="77"/>
      <c r="H41" s="77"/>
      <c r="I41" s="77"/>
      <c r="J41" s="77"/>
      <c r="K41" s="77"/>
      <c r="L41" s="77"/>
      <c r="M41" s="77"/>
      <c r="N41" s="77"/>
      <c r="O41" s="77"/>
      <c r="P41" s="77"/>
      <c r="Q41" s="77"/>
    </row>
    <row r="42" spans="1:17" s="39" customFormat="1">
      <c r="A42" s="77"/>
      <c r="B42" s="77"/>
      <c r="C42" s="77"/>
      <c r="D42" s="77"/>
      <c r="E42" s="77"/>
      <c r="F42" s="77"/>
      <c r="G42" s="77"/>
      <c r="H42" s="77"/>
      <c r="I42" s="77"/>
      <c r="J42" s="77"/>
      <c r="K42" s="77"/>
      <c r="L42" s="77"/>
      <c r="M42" s="77"/>
      <c r="N42" s="77"/>
      <c r="O42" s="77"/>
      <c r="P42" s="77"/>
      <c r="Q42" s="77"/>
    </row>
    <row r="43" spans="1:17" s="39" customFormat="1">
      <c r="A43" s="77"/>
      <c r="B43" s="77"/>
      <c r="C43" s="77"/>
      <c r="D43" s="77"/>
      <c r="E43" s="77"/>
      <c r="F43" s="77"/>
      <c r="G43" s="77"/>
      <c r="H43" s="77"/>
      <c r="I43" s="77"/>
      <c r="J43" s="77"/>
      <c r="K43" s="77"/>
      <c r="L43" s="77"/>
      <c r="M43" s="77"/>
      <c r="N43" s="77"/>
      <c r="O43" s="77"/>
      <c r="P43" s="77"/>
      <c r="Q43" s="77"/>
    </row>
    <row r="44" spans="1:17" s="39" customFormat="1">
      <c r="A44" s="77"/>
      <c r="B44" s="77"/>
      <c r="C44" s="77"/>
      <c r="D44" s="77"/>
      <c r="E44" s="77"/>
      <c r="F44" s="77"/>
      <c r="G44" s="77"/>
      <c r="H44" s="77"/>
      <c r="I44" s="77"/>
      <c r="J44" s="77"/>
      <c r="K44" s="77"/>
      <c r="L44" s="77"/>
      <c r="M44" s="77"/>
      <c r="N44" s="77"/>
      <c r="O44" s="77"/>
      <c r="P44" s="77"/>
      <c r="Q44" s="77"/>
    </row>
    <row r="45" spans="1:17" s="39" customFormat="1">
      <c r="A45" s="77"/>
      <c r="B45" s="77"/>
      <c r="C45" s="77"/>
      <c r="D45" s="77"/>
      <c r="E45" s="77"/>
      <c r="F45" s="77"/>
      <c r="G45" s="77"/>
      <c r="H45" s="77"/>
      <c r="I45" s="77"/>
      <c r="J45" s="77"/>
      <c r="K45" s="77"/>
      <c r="L45" s="77"/>
      <c r="M45" s="77"/>
      <c r="N45" s="77"/>
      <c r="O45" s="77"/>
      <c r="P45" s="77"/>
      <c r="Q45" s="77"/>
    </row>
    <row r="46" spans="1:17" s="39" customFormat="1">
      <c r="A46" s="77"/>
      <c r="B46" s="77"/>
      <c r="C46" s="77"/>
      <c r="D46" s="77"/>
      <c r="E46" s="77"/>
      <c r="F46" s="77"/>
      <c r="G46" s="77"/>
      <c r="H46" s="77"/>
      <c r="I46" s="77"/>
      <c r="J46" s="77"/>
      <c r="K46" s="77"/>
      <c r="L46" s="77"/>
      <c r="M46" s="77"/>
      <c r="N46" s="77"/>
      <c r="O46" s="77"/>
      <c r="P46" s="77"/>
      <c r="Q46" s="77"/>
    </row>
    <row r="47" spans="1:17" s="39" customFormat="1">
      <c r="A47" s="77"/>
      <c r="B47" s="77"/>
      <c r="C47" s="77"/>
      <c r="D47" s="77"/>
      <c r="E47" s="77"/>
      <c r="F47" s="77"/>
      <c r="G47" s="77"/>
      <c r="H47" s="77"/>
      <c r="I47" s="77"/>
      <c r="J47" s="77"/>
      <c r="K47" s="77"/>
      <c r="L47" s="77"/>
      <c r="M47" s="77"/>
      <c r="N47" s="77"/>
      <c r="O47" s="77"/>
      <c r="P47" s="77"/>
      <c r="Q47" s="77"/>
    </row>
    <row r="48" spans="1:17"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row r="109" spans="1:17" s="39" customFormat="1"/>
    <row r="110" spans="1:17" s="39" customFormat="1"/>
    <row r="111" spans="1:17">
      <c r="A111" s="39"/>
      <c r="B111" s="39"/>
      <c r="C111" s="39"/>
      <c r="D111" s="39"/>
      <c r="E111" s="39"/>
      <c r="F111" s="39"/>
      <c r="G111" s="39"/>
      <c r="H111" s="39"/>
      <c r="I111" s="39"/>
      <c r="J111" s="39"/>
      <c r="K111" s="39"/>
      <c r="L111" s="39"/>
      <c r="M111" s="39"/>
      <c r="N111" s="39"/>
      <c r="O111" s="39"/>
      <c r="P111" s="39"/>
      <c r="Q111" s="39"/>
    </row>
  </sheetData>
  <mergeCells count="3">
    <mergeCell ref="A1:Q1"/>
    <mergeCell ref="A2:Q2"/>
    <mergeCell ref="A3:Q3"/>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S115"/>
  <sheetViews>
    <sheetView showGridLines="0" view="pageBreakPreview" zoomScale="70" zoomScaleNormal="40" zoomScaleSheetLayoutView="70" workbookViewId="0">
      <selection activeCell="T21" sqref="T21"/>
    </sheetView>
  </sheetViews>
  <sheetFormatPr baseColWidth="10" defaultColWidth="11.42578125" defaultRowHeight="15"/>
  <cols>
    <col min="1" max="1" width="12.7109375" style="77" customWidth="1"/>
    <col min="2" max="2" width="9.85546875" style="77" customWidth="1"/>
    <col min="3" max="3" width="13" style="77" customWidth="1"/>
    <col min="4" max="4" width="9.140625" style="77" customWidth="1"/>
    <col min="5" max="5" width="11.42578125" style="77" customWidth="1"/>
    <col min="6" max="6" width="11.140625" style="77" customWidth="1"/>
    <col min="7" max="7" width="12.140625" style="77" customWidth="1"/>
    <col min="8" max="10" width="10.5703125" style="77" customWidth="1"/>
    <col min="11" max="11" width="13.28515625" style="77" customWidth="1"/>
    <col min="12" max="12" width="9.140625" style="77" customWidth="1"/>
    <col min="13" max="13" width="17" style="77" customWidth="1"/>
    <col min="14" max="14" width="13.85546875" style="77" customWidth="1"/>
    <col min="15" max="15" width="9.5703125" style="77" customWidth="1"/>
    <col min="16" max="16" width="10.42578125" style="77" customWidth="1"/>
    <col min="17" max="17" width="15.140625" style="77" customWidth="1"/>
    <col min="18" max="18" width="5.140625" style="77" customWidth="1"/>
    <col min="19" max="19" width="12.42578125" style="77" bestFit="1" customWidth="1"/>
    <col min="20" max="16384" width="11.42578125" style="77"/>
  </cols>
  <sheetData>
    <row r="1" spans="1:19" ht="78.75" customHeight="1">
      <c r="A1" s="1873"/>
      <c r="B1" s="1873"/>
      <c r="C1" s="1873"/>
      <c r="D1" s="1873"/>
      <c r="E1" s="1873"/>
      <c r="F1" s="1873"/>
      <c r="G1" s="1873"/>
      <c r="H1" s="1873"/>
      <c r="I1" s="1873"/>
      <c r="J1" s="1873"/>
      <c r="K1" s="1873"/>
      <c r="L1" s="1873"/>
      <c r="M1" s="1873"/>
      <c r="N1" s="1873"/>
      <c r="O1" s="1873"/>
      <c r="P1" s="1873"/>
      <c r="Q1" s="1873"/>
    </row>
    <row r="2" spans="1:19" ht="4.5" customHeight="1">
      <c r="A2" s="188"/>
      <c r="B2" s="188"/>
      <c r="C2" s="188"/>
      <c r="D2" s="188"/>
      <c r="E2" s="188"/>
      <c r="F2" s="188"/>
      <c r="G2" s="188"/>
      <c r="H2" s="188"/>
      <c r="I2" s="188"/>
      <c r="J2" s="188"/>
      <c r="K2" s="188"/>
      <c r="L2" s="188"/>
      <c r="M2" s="188"/>
      <c r="N2" s="188"/>
      <c r="O2" s="188"/>
      <c r="P2" s="188"/>
      <c r="Q2" s="188"/>
    </row>
    <row r="3" spans="1:19" s="39" customFormat="1" ht="25.5" customHeight="1">
      <c r="A3" s="1901" t="s">
        <v>172</v>
      </c>
      <c r="B3" s="1902"/>
      <c r="C3" s="1902"/>
      <c r="D3" s="1902"/>
      <c r="E3" s="1902"/>
      <c r="F3" s="1902"/>
      <c r="G3" s="1902"/>
      <c r="H3" s="1902"/>
      <c r="I3" s="1902"/>
      <c r="J3" s="1902"/>
      <c r="K3" s="1902"/>
      <c r="L3" s="1902"/>
      <c r="M3" s="1902"/>
      <c r="N3" s="1902"/>
      <c r="O3" s="1902"/>
      <c r="P3" s="1902"/>
      <c r="Q3" s="1903"/>
    </row>
    <row r="4" spans="1:19" s="39" customFormat="1" ht="33" customHeight="1">
      <c r="A4" s="510" t="s">
        <v>0</v>
      </c>
      <c r="B4" s="502" t="s">
        <v>86</v>
      </c>
      <c r="C4" s="502" t="s">
        <v>87</v>
      </c>
      <c r="D4" s="502" t="s">
        <v>88</v>
      </c>
      <c r="E4" s="502" t="s">
        <v>89</v>
      </c>
      <c r="F4" s="502" t="s">
        <v>90</v>
      </c>
      <c r="G4" s="502" t="s">
        <v>91</v>
      </c>
      <c r="H4" s="502" t="s">
        <v>92</v>
      </c>
      <c r="I4" s="503" t="s">
        <v>93</v>
      </c>
      <c r="J4" s="502" t="s">
        <v>94</v>
      </c>
      <c r="K4" s="495" t="s">
        <v>95</v>
      </c>
      <c r="L4" s="502" t="s">
        <v>96</v>
      </c>
      <c r="M4" s="502" t="s">
        <v>97</v>
      </c>
      <c r="N4" s="502" t="s">
        <v>85</v>
      </c>
      <c r="O4" s="502" t="s">
        <v>98</v>
      </c>
      <c r="P4" s="511" t="s">
        <v>99</v>
      </c>
      <c r="Q4" s="504" t="s">
        <v>100</v>
      </c>
    </row>
    <row r="5" spans="1:19" s="39" customFormat="1" ht="15.75">
      <c r="A5" s="494">
        <v>2005</v>
      </c>
      <c r="B5" s="500">
        <v>0</v>
      </c>
      <c r="C5" s="500">
        <v>57</v>
      </c>
      <c r="D5" s="500">
        <v>14</v>
      </c>
      <c r="E5" s="501">
        <v>135</v>
      </c>
      <c r="F5" s="500">
        <v>0</v>
      </c>
      <c r="G5" s="501">
        <v>76</v>
      </c>
      <c r="H5" s="500">
        <v>8</v>
      </c>
      <c r="I5" s="501">
        <v>133</v>
      </c>
      <c r="J5" s="501">
        <v>310</v>
      </c>
      <c r="K5" s="1331">
        <f t="shared" ref="K5:K14" si="0">SUM(B5:J5)</f>
        <v>733</v>
      </c>
      <c r="L5" s="500">
        <v>0</v>
      </c>
      <c r="M5" s="500">
        <v>0</v>
      </c>
      <c r="N5" s="500">
        <v>0</v>
      </c>
      <c r="O5" s="500">
        <v>0</v>
      </c>
      <c r="P5" s="1329">
        <f t="shared" ref="P5:P14" si="1">SUM(L5:O5)</f>
        <v>0</v>
      </c>
      <c r="Q5" s="1330">
        <f t="shared" ref="Q5:Q14" si="2">K5+P5</f>
        <v>733</v>
      </c>
      <c r="R5" s="53"/>
    </row>
    <row r="6" spans="1:19" s="39" customFormat="1" ht="15.75">
      <c r="A6" s="494">
        <v>2006</v>
      </c>
      <c r="B6" s="500">
        <v>0</v>
      </c>
      <c r="C6" s="500">
        <v>81</v>
      </c>
      <c r="D6" s="500">
        <v>13</v>
      </c>
      <c r="E6" s="501">
        <v>181</v>
      </c>
      <c r="F6" s="500">
        <v>0</v>
      </c>
      <c r="G6" s="501">
        <v>81</v>
      </c>
      <c r="H6" s="500">
        <v>5</v>
      </c>
      <c r="I6" s="501">
        <v>230</v>
      </c>
      <c r="J6" s="501">
        <v>290</v>
      </c>
      <c r="K6" s="507">
        <f t="shared" si="0"/>
        <v>881</v>
      </c>
      <c r="L6" s="500">
        <v>259</v>
      </c>
      <c r="M6" s="500">
        <v>719</v>
      </c>
      <c r="N6" s="500">
        <v>0</v>
      </c>
      <c r="O6" s="500">
        <v>0</v>
      </c>
      <c r="P6" s="508">
        <f t="shared" si="1"/>
        <v>978</v>
      </c>
      <c r="Q6" s="509">
        <f t="shared" si="2"/>
        <v>1859</v>
      </c>
    </row>
    <row r="7" spans="1:19" s="39" customFormat="1" ht="15.75">
      <c r="A7" s="494">
        <v>2007</v>
      </c>
      <c r="B7" s="500">
        <v>0</v>
      </c>
      <c r="C7" s="500">
        <v>363</v>
      </c>
      <c r="D7" s="500">
        <v>10</v>
      </c>
      <c r="E7" s="501">
        <v>208</v>
      </c>
      <c r="F7" s="500">
        <v>0</v>
      </c>
      <c r="G7" s="501">
        <v>55</v>
      </c>
      <c r="H7" s="500">
        <v>8</v>
      </c>
      <c r="I7" s="501">
        <v>288</v>
      </c>
      <c r="J7" s="501">
        <v>213</v>
      </c>
      <c r="K7" s="507">
        <f t="shared" si="0"/>
        <v>1145</v>
      </c>
      <c r="L7" s="500">
        <v>25</v>
      </c>
      <c r="M7" s="500">
        <v>77</v>
      </c>
      <c r="N7" s="500">
        <v>0</v>
      </c>
      <c r="O7" s="500">
        <v>0</v>
      </c>
      <c r="P7" s="508">
        <f t="shared" si="1"/>
        <v>102</v>
      </c>
      <c r="Q7" s="509">
        <f t="shared" si="2"/>
        <v>1247</v>
      </c>
    </row>
    <row r="8" spans="1:19" s="39" customFormat="1" ht="15.75">
      <c r="A8" s="494">
        <v>2008</v>
      </c>
      <c r="B8" s="500">
        <v>0</v>
      </c>
      <c r="C8" s="500">
        <v>0</v>
      </c>
      <c r="D8" s="500">
        <v>0</v>
      </c>
      <c r="E8" s="501">
        <v>288</v>
      </c>
      <c r="F8" s="500">
        <v>0</v>
      </c>
      <c r="G8" s="501">
        <v>65</v>
      </c>
      <c r="H8" s="500">
        <v>19</v>
      </c>
      <c r="I8" s="501">
        <v>362</v>
      </c>
      <c r="J8" s="501">
        <v>228</v>
      </c>
      <c r="K8" s="507">
        <f t="shared" si="0"/>
        <v>962</v>
      </c>
      <c r="L8" s="500">
        <v>7</v>
      </c>
      <c r="M8" s="500">
        <v>59</v>
      </c>
      <c r="N8" s="500">
        <v>0</v>
      </c>
      <c r="O8" s="500">
        <v>0</v>
      </c>
      <c r="P8" s="508">
        <f t="shared" si="1"/>
        <v>66</v>
      </c>
      <c r="Q8" s="509">
        <f t="shared" si="2"/>
        <v>1028</v>
      </c>
    </row>
    <row r="9" spans="1:19" s="39" customFormat="1" ht="15.75">
      <c r="A9" s="494">
        <v>2009</v>
      </c>
      <c r="B9" s="500">
        <v>0</v>
      </c>
      <c r="C9" s="500">
        <v>0</v>
      </c>
      <c r="D9" s="500">
        <v>0</v>
      </c>
      <c r="E9" s="501">
        <v>5982</v>
      </c>
      <c r="F9" s="500">
        <v>0</v>
      </c>
      <c r="G9" s="501">
        <v>5612</v>
      </c>
      <c r="H9" s="500">
        <v>59</v>
      </c>
      <c r="I9" s="501">
        <v>9295</v>
      </c>
      <c r="J9" s="501">
        <v>4268</v>
      </c>
      <c r="K9" s="507">
        <f t="shared" si="0"/>
        <v>25216</v>
      </c>
      <c r="L9" s="500">
        <v>7</v>
      </c>
      <c r="M9" s="500">
        <v>64</v>
      </c>
      <c r="N9" s="500">
        <v>0</v>
      </c>
      <c r="O9" s="500">
        <v>0</v>
      </c>
      <c r="P9" s="508">
        <f t="shared" si="1"/>
        <v>71</v>
      </c>
      <c r="Q9" s="509">
        <f t="shared" si="2"/>
        <v>25287</v>
      </c>
    </row>
    <row r="10" spans="1:19" s="39" customFormat="1" ht="15.75">
      <c r="A10" s="494">
        <v>2010</v>
      </c>
      <c r="B10" s="500">
        <v>0</v>
      </c>
      <c r="C10" s="500">
        <v>0</v>
      </c>
      <c r="D10" s="500">
        <v>0</v>
      </c>
      <c r="E10" s="501">
        <v>2345</v>
      </c>
      <c r="F10" s="500">
        <v>0</v>
      </c>
      <c r="G10" s="501">
        <v>3608</v>
      </c>
      <c r="H10" s="500">
        <v>22</v>
      </c>
      <c r="I10" s="501">
        <v>2869</v>
      </c>
      <c r="J10" s="501">
        <v>1752</v>
      </c>
      <c r="K10" s="507">
        <f t="shared" si="0"/>
        <v>10596</v>
      </c>
      <c r="L10" s="500">
        <v>5</v>
      </c>
      <c r="M10" s="500">
        <v>43</v>
      </c>
      <c r="N10" s="500">
        <v>0</v>
      </c>
      <c r="O10" s="500">
        <v>0</v>
      </c>
      <c r="P10" s="508">
        <f t="shared" si="1"/>
        <v>48</v>
      </c>
      <c r="Q10" s="509">
        <f t="shared" si="2"/>
        <v>10644</v>
      </c>
      <c r="R10" s="116"/>
    </row>
    <row r="11" spans="1:19" s="39" customFormat="1" ht="15.75">
      <c r="A11" s="494">
        <v>2011</v>
      </c>
      <c r="B11" s="500">
        <v>0</v>
      </c>
      <c r="C11" s="500">
        <v>0</v>
      </c>
      <c r="D11" s="500">
        <v>0</v>
      </c>
      <c r="E11" s="501">
        <v>1603</v>
      </c>
      <c r="F11" s="500">
        <v>0</v>
      </c>
      <c r="G11" s="501">
        <v>1068</v>
      </c>
      <c r="H11" s="500">
        <v>23</v>
      </c>
      <c r="I11" s="501">
        <v>2173</v>
      </c>
      <c r="J11" s="501">
        <v>1337</v>
      </c>
      <c r="K11" s="507">
        <f t="shared" si="0"/>
        <v>6204</v>
      </c>
      <c r="L11" s="500">
        <v>23</v>
      </c>
      <c r="M11" s="500">
        <v>41</v>
      </c>
      <c r="N11" s="500">
        <v>0</v>
      </c>
      <c r="O11" s="500">
        <v>0</v>
      </c>
      <c r="P11" s="508">
        <f t="shared" si="1"/>
        <v>64</v>
      </c>
      <c r="Q11" s="509">
        <f t="shared" si="2"/>
        <v>6268</v>
      </c>
      <c r="R11" s="116"/>
    </row>
    <row r="12" spans="1:19" s="39" customFormat="1" ht="15.75">
      <c r="A12" s="494" t="s">
        <v>485</v>
      </c>
      <c r="B12" s="500">
        <v>0</v>
      </c>
      <c r="C12" s="500">
        <v>0</v>
      </c>
      <c r="D12" s="500">
        <v>0</v>
      </c>
      <c r="E12" s="501">
        <v>2631</v>
      </c>
      <c r="F12" s="500">
        <v>0</v>
      </c>
      <c r="G12" s="501">
        <v>1755</v>
      </c>
      <c r="H12" s="500">
        <v>39</v>
      </c>
      <c r="I12" s="501">
        <v>3381</v>
      </c>
      <c r="J12" s="501">
        <v>2221</v>
      </c>
      <c r="K12" s="507">
        <f t="shared" si="0"/>
        <v>10027</v>
      </c>
      <c r="L12" s="500">
        <v>3</v>
      </c>
      <c r="M12" s="500">
        <v>16</v>
      </c>
      <c r="N12" s="500">
        <v>0</v>
      </c>
      <c r="O12" s="500">
        <v>0</v>
      </c>
      <c r="P12" s="508">
        <f t="shared" si="1"/>
        <v>19</v>
      </c>
      <c r="Q12" s="509">
        <f t="shared" si="2"/>
        <v>10046</v>
      </c>
      <c r="R12" s="116"/>
    </row>
    <row r="13" spans="1:19" s="39" customFormat="1" ht="15.75">
      <c r="A13" s="494" t="s">
        <v>573</v>
      </c>
      <c r="B13" s="500">
        <v>0</v>
      </c>
      <c r="C13" s="500">
        <v>0</v>
      </c>
      <c r="D13" s="500">
        <v>0</v>
      </c>
      <c r="E13" s="501">
        <v>3642</v>
      </c>
      <c r="F13" s="500">
        <v>0</v>
      </c>
      <c r="G13" s="501">
        <v>3099</v>
      </c>
      <c r="H13" s="500">
        <v>33</v>
      </c>
      <c r="I13" s="501">
        <v>5417</v>
      </c>
      <c r="J13" s="501">
        <v>3510</v>
      </c>
      <c r="K13" s="507">
        <f t="shared" si="0"/>
        <v>15701</v>
      </c>
      <c r="L13" s="500">
        <v>7</v>
      </c>
      <c r="M13" s="500">
        <v>32</v>
      </c>
      <c r="N13" s="500">
        <v>0</v>
      </c>
      <c r="O13" s="500">
        <v>0</v>
      </c>
      <c r="P13" s="508">
        <f t="shared" si="1"/>
        <v>39</v>
      </c>
      <c r="Q13" s="509">
        <f t="shared" si="2"/>
        <v>15740</v>
      </c>
      <c r="R13" s="116"/>
    </row>
    <row r="14" spans="1:19" s="39" customFormat="1" ht="15.75">
      <c r="A14" s="494" t="str">
        <f>+'[3]V.3.2 Trasp. recibidos'!A15</f>
        <v>2014</v>
      </c>
      <c r="B14" s="500">
        <v>0</v>
      </c>
      <c r="C14" s="500">
        <v>0</v>
      </c>
      <c r="D14" s="500">
        <v>0</v>
      </c>
      <c r="E14" s="501">
        <v>7753</v>
      </c>
      <c r="F14" s="500">
        <v>0</v>
      </c>
      <c r="G14" s="501">
        <v>7468</v>
      </c>
      <c r="H14" s="500">
        <f>14+93</f>
        <v>107</v>
      </c>
      <c r="I14" s="501">
        <v>11143</v>
      </c>
      <c r="J14" s="501">
        <v>5850</v>
      </c>
      <c r="K14" s="507">
        <f t="shared" si="0"/>
        <v>32321</v>
      </c>
      <c r="L14" s="500">
        <v>5</v>
      </c>
      <c r="M14" s="500">
        <f>3+29</f>
        <v>32</v>
      </c>
      <c r="N14" s="500">
        <v>0</v>
      </c>
      <c r="O14" s="500">
        <v>7</v>
      </c>
      <c r="P14" s="508">
        <f t="shared" si="1"/>
        <v>44</v>
      </c>
      <c r="Q14" s="509">
        <f t="shared" si="2"/>
        <v>32365</v>
      </c>
      <c r="R14" s="116"/>
    </row>
    <row r="15" spans="1:19" s="39" customFormat="1" ht="15.75">
      <c r="A15" s="494" t="s">
        <v>947</v>
      </c>
      <c r="B15" s="500">
        <v>0</v>
      </c>
      <c r="C15" s="500">
        <v>0</v>
      </c>
      <c r="D15" s="500">
        <v>0</v>
      </c>
      <c r="E15" s="501">
        <v>3853</v>
      </c>
      <c r="F15" s="500">
        <v>0</v>
      </c>
      <c r="G15" s="501">
        <v>3246</v>
      </c>
      <c r="H15" s="500">
        <v>89</v>
      </c>
      <c r="I15" s="501">
        <v>5455</v>
      </c>
      <c r="J15" s="501">
        <v>2802</v>
      </c>
      <c r="K15" s="507">
        <f>SUM(B15:J15)</f>
        <v>15445</v>
      </c>
      <c r="L15" s="500">
        <v>2</v>
      </c>
      <c r="M15" s="500">
        <v>13</v>
      </c>
      <c r="N15" s="500">
        <v>0</v>
      </c>
      <c r="O15" s="500">
        <v>52</v>
      </c>
      <c r="P15" s="508">
        <f>SUM(L15:O15)</f>
        <v>67</v>
      </c>
      <c r="Q15" s="509">
        <f>K15+P15</f>
        <v>15512</v>
      </c>
      <c r="R15" s="116"/>
    </row>
    <row r="16" spans="1:19" ht="15.75">
      <c r="A16" s="423" t="s">
        <v>23</v>
      </c>
      <c r="B16" s="876">
        <f>SUM(B5:B15)</f>
        <v>0</v>
      </c>
      <c r="C16" s="506">
        <f>SUM(C5:C15)</f>
        <v>501</v>
      </c>
      <c r="D16" s="506">
        <f t="shared" ref="D16:Q16" si="3">SUM(D5:D15)</f>
        <v>37</v>
      </c>
      <c r="E16" s="506">
        <f t="shared" si="3"/>
        <v>28621</v>
      </c>
      <c r="F16" s="506">
        <f t="shared" si="3"/>
        <v>0</v>
      </c>
      <c r="G16" s="506">
        <f t="shared" si="3"/>
        <v>26133</v>
      </c>
      <c r="H16" s="506">
        <f t="shared" si="3"/>
        <v>412</v>
      </c>
      <c r="I16" s="506">
        <f t="shared" si="3"/>
        <v>40746</v>
      </c>
      <c r="J16" s="506">
        <f t="shared" si="3"/>
        <v>22781</v>
      </c>
      <c r="K16" s="1332">
        <f>SUM(K5:K15)</f>
        <v>119231</v>
      </c>
      <c r="L16" s="506">
        <f t="shared" si="3"/>
        <v>343</v>
      </c>
      <c r="M16" s="506">
        <f t="shared" si="3"/>
        <v>1096</v>
      </c>
      <c r="N16" s="506">
        <f>SUM(N5:N15)</f>
        <v>0</v>
      </c>
      <c r="O16" s="506">
        <f t="shared" si="3"/>
        <v>59</v>
      </c>
      <c r="P16" s="876">
        <f t="shared" si="3"/>
        <v>1498</v>
      </c>
      <c r="Q16" s="877">
        <f t="shared" si="3"/>
        <v>120729</v>
      </c>
      <c r="R16" s="116"/>
      <c r="S16" s="39"/>
    </row>
    <row r="17" spans="1:19" s="39" customFormat="1" ht="18" customHeight="1">
      <c r="A17" s="77"/>
      <c r="B17" s="77"/>
      <c r="C17" s="77"/>
      <c r="D17" s="77"/>
      <c r="E17" s="77"/>
      <c r="F17" s="77"/>
      <c r="G17" s="77"/>
      <c r="H17" s="77"/>
      <c r="I17" s="77"/>
      <c r="J17" s="77"/>
      <c r="K17" s="77"/>
      <c r="L17" s="77"/>
      <c r="M17" s="77"/>
      <c r="N17" s="77"/>
      <c r="O17" s="77"/>
      <c r="P17" s="77"/>
      <c r="Q17" s="77"/>
    </row>
    <row r="18" spans="1:19" s="39" customFormat="1">
      <c r="A18" s="96"/>
      <c r="B18" s="96"/>
      <c r="C18" s="96"/>
      <c r="D18" s="96"/>
      <c r="E18" s="96"/>
      <c r="F18" s="96"/>
      <c r="G18" s="96"/>
      <c r="H18" s="96"/>
      <c r="I18" s="96"/>
      <c r="J18" s="96"/>
      <c r="K18" s="96"/>
      <c r="L18" s="96"/>
      <c r="M18" s="96"/>
      <c r="N18" s="96"/>
      <c r="O18" s="96"/>
      <c r="P18" s="96"/>
      <c r="Q18" s="96"/>
    </row>
    <row r="19" spans="1:19" s="39" customFormat="1">
      <c r="A19" s="96"/>
      <c r="B19" s="96"/>
      <c r="C19" s="96"/>
      <c r="D19" s="96"/>
      <c r="E19" s="96"/>
      <c r="F19" s="96"/>
      <c r="G19" s="96"/>
      <c r="H19" s="96"/>
      <c r="I19" s="96"/>
      <c r="J19" s="96"/>
      <c r="K19" s="96"/>
      <c r="L19" s="96"/>
      <c r="M19" s="96"/>
      <c r="N19" s="96"/>
      <c r="O19" s="96"/>
      <c r="P19" s="96"/>
      <c r="Q19" s="96"/>
    </row>
    <row r="20" spans="1:19" s="39" customFormat="1">
      <c r="A20" s="96"/>
      <c r="B20" s="96"/>
      <c r="C20" s="96"/>
      <c r="D20" s="96"/>
      <c r="E20" s="96"/>
      <c r="F20" s="96"/>
      <c r="G20" s="96"/>
      <c r="H20" s="96"/>
      <c r="I20" s="96"/>
      <c r="J20" s="96"/>
      <c r="K20" s="96"/>
      <c r="L20" s="96"/>
      <c r="M20" s="96"/>
      <c r="N20" s="96"/>
      <c r="O20" s="96"/>
      <c r="P20" s="96"/>
      <c r="Q20" s="96"/>
    </row>
    <row r="21" spans="1:19" s="39" customFormat="1">
      <c r="A21" s="96"/>
      <c r="B21" s="96"/>
      <c r="C21" s="96"/>
      <c r="D21" s="96"/>
      <c r="E21" s="96"/>
      <c r="F21" s="96"/>
      <c r="G21" s="96"/>
      <c r="H21" s="96"/>
      <c r="I21" s="96"/>
      <c r="J21" s="96"/>
      <c r="K21" s="96"/>
      <c r="L21" s="96"/>
      <c r="M21" s="96"/>
      <c r="N21" s="96"/>
      <c r="O21" s="96"/>
      <c r="P21" s="96"/>
      <c r="Q21" s="96"/>
    </row>
    <row r="22" spans="1:19" s="39" customFormat="1">
      <c r="A22" s="96"/>
      <c r="B22" s="96"/>
      <c r="C22" s="96"/>
      <c r="D22" s="96"/>
      <c r="E22" s="96"/>
      <c r="F22" s="96"/>
      <c r="G22" s="96"/>
      <c r="H22" s="96"/>
      <c r="I22" s="96"/>
      <c r="J22" s="96"/>
      <c r="K22" s="96"/>
      <c r="L22" s="96"/>
      <c r="M22" s="96"/>
      <c r="N22" s="96"/>
      <c r="O22" s="96"/>
      <c r="P22" s="96"/>
      <c r="Q22" s="96"/>
    </row>
    <row r="23" spans="1:19" s="39" customFormat="1">
      <c r="A23" s="96"/>
      <c r="B23" s="96"/>
      <c r="C23" s="96"/>
      <c r="D23" s="96"/>
      <c r="E23" s="96"/>
      <c r="F23" s="96"/>
      <c r="G23" s="96"/>
      <c r="H23" s="96"/>
      <c r="I23" s="96"/>
      <c r="J23" s="96"/>
      <c r="K23" s="96"/>
      <c r="L23" s="96"/>
      <c r="M23" s="96"/>
      <c r="N23" s="96"/>
      <c r="O23" s="96"/>
      <c r="P23" s="96"/>
      <c r="Q23" s="96"/>
    </row>
    <row r="24" spans="1:19" s="39" customFormat="1">
      <c r="A24" s="96"/>
      <c r="B24" s="96"/>
      <c r="C24" s="96"/>
      <c r="D24" s="96"/>
      <c r="E24" s="96"/>
      <c r="F24" s="96"/>
      <c r="G24" s="96"/>
      <c r="H24" s="96"/>
      <c r="I24" s="96"/>
      <c r="J24" s="96"/>
      <c r="K24" s="96"/>
      <c r="L24" s="96"/>
      <c r="M24" s="96"/>
      <c r="N24" s="96"/>
      <c r="O24" s="96"/>
      <c r="P24" s="96"/>
      <c r="Q24" s="96"/>
    </row>
    <row r="25" spans="1:19" s="39" customFormat="1">
      <c r="A25" s="96"/>
      <c r="B25" s="96"/>
      <c r="C25" s="96"/>
      <c r="D25" s="96"/>
      <c r="E25" s="96"/>
      <c r="F25" s="96"/>
      <c r="G25" s="96"/>
      <c r="H25" s="96"/>
      <c r="I25" s="96"/>
      <c r="J25" s="96"/>
      <c r="K25" s="96"/>
      <c r="L25" s="96"/>
      <c r="M25" s="96"/>
      <c r="N25" s="96"/>
      <c r="O25" s="96"/>
      <c r="P25" s="96"/>
      <c r="Q25" s="96"/>
      <c r="S25" s="77"/>
    </row>
    <row r="26" spans="1:19" s="39" customFormat="1">
      <c r="A26" s="96"/>
      <c r="B26" s="96"/>
      <c r="C26" s="96"/>
      <c r="D26" s="96"/>
      <c r="E26" s="96"/>
      <c r="F26" s="96"/>
      <c r="G26" s="96"/>
      <c r="H26" s="96"/>
      <c r="I26" s="96"/>
      <c r="J26" s="96"/>
      <c r="K26" s="96"/>
      <c r="L26" s="96"/>
      <c r="M26" s="96"/>
      <c r="N26" s="96"/>
      <c r="O26" s="96"/>
      <c r="P26" s="96"/>
      <c r="Q26" s="96"/>
      <c r="S26" s="77"/>
    </row>
    <row r="27" spans="1:19" s="39" customFormat="1">
      <c r="A27" s="96"/>
      <c r="B27" s="96"/>
      <c r="C27" s="96"/>
      <c r="D27" s="96"/>
      <c r="E27" s="96"/>
      <c r="F27" s="96"/>
      <c r="G27" s="96"/>
      <c r="H27" s="96"/>
      <c r="I27" s="96"/>
      <c r="J27" s="96"/>
      <c r="K27" s="96"/>
      <c r="L27" s="96"/>
      <c r="M27" s="96"/>
      <c r="N27" s="96"/>
      <c r="O27" s="96"/>
      <c r="P27" s="96"/>
      <c r="Q27" s="96"/>
      <c r="S27" s="77"/>
    </row>
    <row r="28" spans="1:19" s="39" customFormat="1">
      <c r="A28" s="96"/>
      <c r="B28" s="96"/>
      <c r="C28" s="96"/>
      <c r="D28" s="96"/>
      <c r="E28" s="96"/>
      <c r="F28" s="96"/>
      <c r="G28" s="96"/>
      <c r="H28" s="96"/>
      <c r="I28" s="96"/>
      <c r="J28" s="96"/>
      <c r="K28" s="96"/>
      <c r="L28" s="96"/>
      <c r="M28" s="96"/>
      <c r="N28" s="96"/>
      <c r="O28" s="96"/>
      <c r="P28" s="96"/>
      <c r="Q28" s="96"/>
      <c r="S28" s="77"/>
    </row>
    <row r="29" spans="1:19" s="39" customFormat="1">
      <c r="A29" s="96"/>
      <c r="B29" s="96"/>
      <c r="C29" s="96"/>
      <c r="D29" s="96"/>
      <c r="E29" s="96"/>
      <c r="F29" s="96"/>
      <c r="G29" s="96"/>
      <c r="H29" s="96"/>
      <c r="I29" s="96"/>
      <c r="J29" s="96"/>
      <c r="K29" s="96"/>
      <c r="L29" s="96"/>
      <c r="M29" s="96"/>
      <c r="N29" s="96"/>
      <c r="O29" s="96"/>
      <c r="P29" s="96"/>
      <c r="Q29" s="96"/>
      <c r="S29" s="77"/>
    </row>
    <row r="30" spans="1:19" s="39" customFormat="1">
      <c r="A30" s="96"/>
      <c r="B30" s="96"/>
      <c r="C30" s="96"/>
      <c r="D30" s="96"/>
      <c r="E30" s="96"/>
      <c r="F30" s="96"/>
      <c r="G30" s="96"/>
      <c r="H30" s="96"/>
      <c r="I30" s="96"/>
      <c r="J30" s="96"/>
      <c r="K30" s="96"/>
      <c r="L30" s="96"/>
      <c r="M30" s="96"/>
      <c r="N30" s="96"/>
      <c r="O30" s="96"/>
      <c r="P30" s="96"/>
      <c r="Q30" s="96"/>
      <c r="S30" s="77"/>
    </row>
    <row r="31" spans="1:19" s="39" customFormat="1">
      <c r="A31" s="96"/>
      <c r="B31" s="11"/>
      <c r="C31" s="96"/>
      <c r="D31" s="96"/>
      <c r="E31" s="96"/>
      <c r="F31" s="96"/>
      <c r="G31" s="96"/>
      <c r="H31" s="96"/>
      <c r="I31" s="96"/>
      <c r="J31" s="96"/>
      <c r="K31" s="96"/>
      <c r="L31" s="96"/>
      <c r="M31" s="96"/>
      <c r="N31" s="96"/>
      <c r="O31" s="96"/>
      <c r="P31" s="96"/>
      <c r="Q31" s="96"/>
      <c r="S31" s="77"/>
    </row>
    <row r="32" spans="1:19" s="39" customFormat="1">
      <c r="A32" s="96"/>
      <c r="B32" s="10"/>
      <c r="C32" s="96"/>
      <c r="D32" s="96"/>
      <c r="E32" s="96"/>
      <c r="F32" s="96"/>
      <c r="G32" s="96"/>
      <c r="H32" s="96"/>
      <c r="I32" s="96"/>
      <c r="J32" s="96"/>
      <c r="K32" s="96"/>
      <c r="L32" s="96"/>
      <c r="M32" s="96"/>
      <c r="N32" s="96"/>
      <c r="O32" s="96"/>
      <c r="P32" s="96"/>
      <c r="Q32" s="96"/>
      <c r="S32" s="77"/>
    </row>
    <row r="33" spans="1:19" s="39" customFormat="1">
      <c r="A33" s="96"/>
      <c r="B33" s="28"/>
      <c r="C33" s="96"/>
      <c r="D33" s="96"/>
      <c r="E33" s="96"/>
      <c r="F33" s="96"/>
      <c r="G33" s="96"/>
      <c r="H33" s="96"/>
      <c r="I33" s="96"/>
      <c r="J33" s="96"/>
      <c r="K33" s="96"/>
      <c r="L33" s="96"/>
      <c r="M33" s="96"/>
      <c r="N33" s="96"/>
      <c r="O33" s="96"/>
      <c r="P33" s="96"/>
      <c r="Q33" s="96"/>
      <c r="S33" s="77"/>
    </row>
    <row r="34" spans="1:19" s="39" customFormat="1">
      <c r="A34" s="96"/>
      <c r="B34" s="96"/>
      <c r="C34" s="96"/>
      <c r="D34" s="96"/>
      <c r="E34" s="96"/>
      <c r="F34" s="96"/>
      <c r="G34" s="96"/>
      <c r="H34" s="96"/>
      <c r="I34" s="96"/>
      <c r="J34" s="96"/>
      <c r="K34" s="96"/>
      <c r="L34" s="96"/>
      <c r="M34" s="96"/>
      <c r="N34" s="96"/>
      <c r="O34" s="96"/>
      <c r="P34" s="96"/>
      <c r="Q34" s="96"/>
      <c r="S34" s="77"/>
    </row>
    <row r="35" spans="1:19" s="39" customFormat="1">
      <c r="A35" s="96"/>
      <c r="B35" s="96"/>
      <c r="C35" s="96"/>
      <c r="D35" s="96"/>
      <c r="E35" s="96"/>
      <c r="F35" s="96"/>
      <c r="G35" s="96"/>
      <c r="H35" s="96"/>
      <c r="I35" s="96"/>
      <c r="J35" s="96"/>
      <c r="K35" s="96"/>
      <c r="L35" s="96"/>
      <c r="M35" s="96"/>
      <c r="N35" s="96"/>
      <c r="O35" s="96"/>
      <c r="P35" s="96"/>
      <c r="Q35" s="96"/>
      <c r="S35" s="77"/>
    </row>
    <row r="36" spans="1:19" s="39" customFormat="1">
      <c r="A36" s="96"/>
      <c r="B36" s="96"/>
      <c r="C36" s="96"/>
      <c r="D36" s="96"/>
      <c r="E36" s="96"/>
      <c r="F36" s="96"/>
      <c r="G36" s="96"/>
      <c r="H36" s="96"/>
      <c r="I36" s="96"/>
      <c r="J36" s="96"/>
      <c r="K36" s="96"/>
      <c r="L36" s="96"/>
      <c r="M36" s="96"/>
      <c r="N36" s="96"/>
      <c r="O36" s="96"/>
      <c r="P36" s="96"/>
      <c r="Q36" s="96"/>
      <c r="S36" s="77"/>
    </row>
    <row r="37" spans="1:19" s="39" customFormat="1">
      <c r="A37" s="96"/>
      <c r="B37" s="96"/>
      <c r="C37" s="96"/>
      <c r="D37" s="96"/>
      <c r="E37" s="96"/>
      <c r="F37" s="96"/>
      <c r="G37" s="96"/>
      <c r="H37" s="96"/>
      <c r="I37" s="96"/>
      <c r="J37" s="96"/>
      <c r="K37" s="96"/>
      <c r="L37" s="96"/>
      <c r="M37" s="96"/>
      <c r="N37" s="96"/>
      <c r="O37" s="96"/>
      <c r="P37" s="96"/>
      <c r="Q37" s="96"/>
      <c r="S37" s="77"/>
    </row>
    <row r="38" spans="1:19" s="39" customFormat="1">
      <c r="A38" s="96"/>
      <c r="B38" s="96"/>
      <c r="C38" s="96"/>
      <c r="D38" s="96"/>
      <c r="E38" s="96"/>
      <c r="F38" s="96"/>
      <c r="G38" s="16"/>
      <c r="H38" s="96"/>
      <c r="I38" s="96"/>
      <c r="J38" s="96"/>
      <c r="K38" s="96"/>
      <c r="L38" s="96"/>
      <c r="M38" s="96"/>
      <c r="N38" s="96"/>
      <c r="O38" s="96"/>
      <c r="P38" s="96"/>
      <c r="Q38" s="96"/>
      <c r="S38" s="77"/>
    </row>
    <row r="39" spans="1:19" s="39" customFormat="1">
      <c r="A39" s="77"/>
      <c r="B39" s="77"/>
      <c r="C39" s="77"/>
      <c r="D39" s="77"/>
      <c r="E39" s="77"/>
      <c r="F39" s="77"/>
      <c r="G39" s="77"/>
      <c r="H39" s="77"/>
      <c r="I39" s="77"/>
      <c r="J39" s="77"/>
      <c r="K39" s="77"/>
      <c r="L39" s="77"/>
      <c r="M39" s="77"/>
      <c r="N39" s="77"/>
      <c r="O39" s="77"/>
      <c r="P39" s="77"/>
      <c r="Q39" s="77"/>
      <c r="S39" s="77"/>
    </row>
    <row r="40" spans="1:19" s="39" customFormat="1">
      <c r="A40" s="77"/>
      <c r="B40" s="77"/>
      <c r="C40" s="77"/>
      <c r="D40" s="77"/>
      <c r="E40" s="77"/>
      <c r="F40" s="77"/>
      <c r="G40" s="77"/>
      <c r="H40" s="77"/>
      <c r="I40" s="77"/>
      <c r="J40" s="77"/>
      <c r="K40" s="77"/>
      <c r="L40" s="77"/>
      <c r="M40" s="77"/>
      <c r="N40" s="77"/>
      <c r="O40" s="77"/>
      <c r="P40" s="77"/>
      <c r="Q40" s="77"/>
      <c r="S40" s="77"/>
    </row>
    <row r="41" spans="1:19" s="39" customFormat="1">
      <c r="A41" s="77"/>
      <c r="B41" s="77"/>
      <c r="C41" s="77"/>
      <c r="D41" s="77"/>
      <c r="E41" s="77"/>
      <c r="F41" s="77"/>
      <c r="G41" s="77"/>
      <c r="H41" s="77"/>
      <c r="I41" s="77"/>
      <c r="J41" s="77"/>
      <c r="K41" s="77"/>
      <c r="L41" s="77"/>
      <c r="M41" s="77"/>
      <c r="N41" s="77"/>
      <c r="O41" s="77"/>
      <c r="P41" s="77"/>
      <c r="Q41" s="77"/>
      <c r="S41" s="77"/>
    </row>
    <row r="42" spans="1:19" s="39" customFormat="1">
      <c r="A42" s="77"/>
      <c r="B42" s="77"/>
      <c r="C42" s="77"/>
      <c r="D42" s="77"/>
      <c r="E42" s="77"/>
      <c r="F42" s="77"/>
      <c r="G42" s="77"/>
      <c r="H42" s="77"/>
      <c r="I42" s="77"/>
      <c r="J42" s="77"/>
      <c r="K42" s="77"/>
      <c r="L42" s="77"/>
      <c r="M42" s="77"/>
      <c r="N42" s="77"/>
      <c r="O42" s="77"/>
      <c r="P42" s="77"/>
      <c r="Q42" s="77"/>
      <c r="S42" s="77"/>
    </row>
    <row r="43" spans="1:19" s="39" customFormat="1">
      <c r="A43" s="77"/>
      <c r="B43" s="77"/>
      <c r="C43" s="77"/>
      <c r="D43" s="77"/>
      <c r="E43" s="77"/>
      <c r="F43" s="77"/>
      <c r="G43" s="77"/>
      <c r="H43" s="77"/>
      <c r="I43" s="77"/>
      <c r="J43" s="77"/>
      <c r="K43" s="77"/>
      <c r="L43" s="77"/>
      <c r="M43" s="77"/>
      <c r="N43" s="77"/>
      <c r="O43" s="77"/>
      <c r="P43" s="77"/>
      <c r="Q43" s="77"/>
      <c r="S43" s="77"/>
    </row>
    <row r="44" spans="1:19" s="39" customFormat="1">
      <c r="A44" s="77"/>
      <c r="B44" s="77"/>
      <c r="C44" s="77"/>
      <c r="D44" s="77"/>
      <c r="E44" s="77"/>
      <c r="F44" s="77"/>
      <c r="G44" s="77"/>
      <c r="H44" s="77"/>
      <c r="I44" s="77"/>
      <c r="J44" s="77"/>
      <c r="K44" s="77"/>
      <c r="L44" s="77"/>
      <c r="M44" s="77"/>
      <c r="N44" s="77"/>
      <c r="O44" s="77"/>
      <c r="P44" s="77"/>
      <c r="Q44" s="77"/>
      <c r="S44" s="77"/>
    </row>
    <row r="45" spans="1:19" s="39" customFormat="1">
      <c r="A45" s="77"/>
      <c r="B45" s="77"/>
      <c r="C45" s="77"/>
      <c r="D45" s="77"/>
      <c r="E45" s="77"/>
      <c r="F45" s="77"/>
      <c r="G45" s="77"/>
      <c r="H45" s="77"/>
      <c r="I45" s="77"/>
      <c r="J45" s="77"/>
      <c r="K45" s="77"/>
      <c r="L45" s="77"/>
      <c r="M45" s="77"/>
      <c r="N45" s="77"/>
      <c r="O45" s="77"/>
      <c r="P45" s="77"/>
      <c r="Q45" s="77"/>
      <c r="S45" s="77"/>
    </row>
    <row r="46" spans="1:19" s="39" customFormat="1">
      <c r="A46" s="77"/>
      <c r="B46" s="77"/>
      <c r="C46" s="77"/>
      <c r="D46" s="77"/>
      <c r="E46" s="77"/>
      <c r="F46" s="77"/>
      <c r="G46" s="77"/>
      <c r="H46" s="77"/>
      <c r="I46" s="77"/>
      <c r="J46" s="77"/>
      <c r="K46" s="77"/>
      <c r="L46" s="77"/>
      <c r="M46" s="77"/>
      <c r="N46" s="77"/>
      <c r="O46" s="77"/>
      <c r="P46" s="77"/>
      <c r="Q46" s="77"/>
      <c r="S46" s="77"/>
    </row>
    <row r="47" spans="1:19" s="39" customFormat="1">
      <c r="A47" s="77"/>
      <c r="B47" s="77"/>
      <c r="C47" s="77"/>
      <c r="D47" s="77"/>
      <c r="E47" s="77"/>
      <c r="F47" s="77"/>
      <c r="G47" s="77"/>
      <c r="H47" s="77"/>
      <c r="I47" s="77"/>
      <c r="J47" s="77"/>
      <c r="K47" s="77"/>
      <c r="L47" s="77"/>
      <c r="M47" s="77"/>
      <c r="N47" s="77"/>
      <c r="O47" s="77"/>
      <c r="P47" s="77"/>
      <c r="Q47" s="77"/>
      <c r="S47" s="77"/>
    </row>
    <row r="48" spans="1:19" s="39" customFormat="1">
      <c r="A48" s="77"/>
      <c r="B48" s="77"/>
      <c r="C48" s="77"/>
      <c r="D48" s="77"/>
      <c r="E48" s="77"/>
      <c r="F48" s="77"/>
      <c r="G48" s="77"/>
      <c r="H48" s="77"/>
      <c r="I48" s="77"/>
      <c r="J48" s="77"/>
      <c r="K48" s="77"/>
      <c r="L48" s="77"/>
      <c r="M48" s="77"/>
      <c r="N48" s="77"/>
      <c r="O48" s="77"/>
      <c r="P48" s="77"/>
      <c r="Q48" s="77"/>
      <c r="S48" s="77"/>
    </row>
    <row r="49" spans="1:19" s="39" customFormat="1">
      <c r="A49" s="77"/>
      <c r="B49" s="77"/>
      <c r="C49" s="77"/>
      <c r="D49" s="77"/>
      <c r="E49" s="77"/>
      <c r="F49" s="77"/>
      <c r="G49" s="77"/>
      <c r="H49" s="77"/>
      <c r="I49" s="77"/>
      <c r="J49" s="77"/>
      <c r="K49" s="77"/>
      <c r="L49" s="77"/>
      <c r="M49" s="77"/>
      <c r="N49" s="77"/>
      <c r="O49" s="77"/>
      <c r="P49" s="77"/>
      <c r="Q49" s="77"/>
      <c r="S49" s="77"/>
    </row>
    <row r="50" spans="1:19" s="39" customFormat="1">
      <c r="A50" s="77"/>
      <c r="B50" s="77"/>
      <c r="C50" s="77"/>
      <c r="D50" s="77"/>
      <c r="E50" s="77"/>
      <c r="F50" s="77"/>
      <c r="G50" s="77"/>
      <c r="H50" s="77"/>
      <c r="I50" s="77"/>
      <c r="J50" s="77"/>
      <c r="K50" s="77"/>
      <c r="L50" s="77"/>
      <c r="M50" s="77"/>
      <c r="N50" s="77"/>
      <c r="O50" s="77"/>
      <c r="P50" s="77"/>
      <c r="Q50" s="77"/>
      <c r="S50" s="77"/>
    </row>
    <row r="51" spans="1:19" s="39" customFormat="1">
      <c r="A51" s="77"/>
      <c r="B51" s="77"/>
      <c r="C51" s="77"/>
      <c r="D51" s="77"/>
      <c r="E51" s="77"/>
      <c r="F51" s="77"/>
      <c r="G51" s="77"/>
      <c r="H51" s="77"/>
      <c r="I51" s="77"/>
      <c r="J51" s="77"/>
      <c r="K51" s="77"/>
      <c r="L51" s="77"/>
      <c r="M51" s="77"/>
      <c r="N51" s="77"/>
      <c r="O51" s="77"/>
      <c r="P51" s="77"/>
      <c r="Q51" s="77"/>
      <c r="S51" s="77"/>
    </row>
    <row r="52" spans="1:19" s="39" customFormat="1">
      <c r="A52" s="77"/>
      <c r="B52" s="77"/>
      <c r="C52" s="77"/>
      <c r="D52" s="77"/>
      <c r="E52" s="77"/>
      <c r="F52" s="77"/>
      <c r="G52" s="77"/>
      <c r="H52" s="77"/>
      <c r="I52" s="77"/>
      <c r="J52" s="77"/>
      <c r="K52" s="77"/>
      <c r="L52" s="77"/>
      <c r="M52" s="77"/>
      <c r="N52" s="77"/>
      <c r="O52" s="77"/>
      <c r="P52" s="77"/>
      <c r="Q52" s="77"/>
      <c r="S52" s="77"/>
    </row>
    <row r="53" spans="1:19" s="39" customFormat="1">
      <c r="A53" s="77"/>
      <c r="B53" s="77"/>
      <c r="C53" s="77"/>
      <c r="D53" s="77"/>
      <c r="E53" s="77"/>
      <c r="F53" s="77"/>
      <c r="G53" s="77"/>
      <c r="H53" s="77"/>
      <c r="I53" s="77"/>
      <c r="J53" s="77"/>
      <c r="K53" s="77"/>
      <c r="L53" s="77"/>
      <c r="M53" s="77"/>
      <c r="N53" s="77"/>
      <c r="O53" s="77"/>
      <c r="P53" s="77"/>
      <c r="Q53" s="77"/>
      <c r="S53" s="77"/>
    </row>
    <row r="54" spans="1:19" s="39" customFormat="1">
      <c r="A54" s="77"/>
      <c r="B54" s="77"/>
      <c r="C54" s="77"/>
      <c r="D54" s="77"/>
      <c r="E54" s="77"/>
      <c r="F54" s="77"/>
      <c r="G54" s="77"/>
      <c r="H54" s="77"/>
      <c r="I54" s="77"/>
      <c r="J54" s="77"/>
      <c r="K54" s="77"/>
      <c r="L54" s="77"/>
      <c r="M54" s="77"/>
      <c r="N54" s="77"/>
      <c r="O54" s="77"/>
      <c r="P54" s="77"/>
      <c r="Q54" s="77"/>
      <c r="S54" s="77"/>
    </row>
    <row r="55" spans="1:19" s="39" customFormat="1">
      <c r="A55" s="77"/>
      <c r="B55" s="77"/>
      <c r="C55" s="77"/>
      <c r="D55" s="77"/>
      <c r="E55" s="77"/>
      <c r="F55" s="77"/>
      <c r="G55" s="77"/>
      <c r="H55" s="77"/>
      <c r="I55" s="77"/>
      <c r="J55" s="77"/>
      <c r="K55" s="77"/>
      <c r="L55" s="77"/>
      <c r="M55" s="77"/>
      <c r="N55" s="77"/>
      <c r="O55" s="77"/>
      <c r="P55" s="77"/>
      <c r="Q55" s="77"/>
      <c r="S55" s="77"/>
    </row>
    <row r="56" spans="1:19" s="39" customFormat="1">
      <c r="A56" s="77"/>
      <c r="B56" s="77"/>
      <c r="C56" s="77"/>
      <c r="D56" s="77"/>
      <c r="E56" s="77"/>
      <c r="F56" s="77"/>
      <c r="G56" s="77"/>
      <c r="H56" s="77"/>
      <c r="I56" s="77"/>
      <c r="J56" s="77"/>
      <c r="K56" s="77"/>
      <c r="L56" s="77"/>
      <c r="M56" s="77"/>
      <c r="N56" s="77"/>
      <c r="O56" s="77"/>
      <c r="P56" s="77"/>
      <c r="Q56" s="77"/>
      <c r="S56" s="77"/>
    </row>
    <row r="57" spans="1:19" s="39" customFormat="1">
      <c r="A57" s="77"/>
      <c r="B57" s="77"/>
      <c r="C57" s="77"/>
      <c r="D57" s="77"/>
      <c r="E57" s="77"/>
      <c r="F57" s="77"/>
      <c r="G57" s="77"/>
      <c r="H57" s="77"/>
      <c r="I57" s="77"/>
      <c r="J57" s="77"/>
      <c r="K57" s="77"/>
      <c r="L57" s="77"/>
      <c r="M57" s="77"/>
      <c r="N57" s="77"/>
      <c r="O57" s="77"/>
      <c r="P57" s="77"/>
      <c r="Q57" s="77"/>
      <c r="S57" s="77"/>
    </row>
    <row r="58" spans="1:19" s="39" customFormat="1">
      <c r="A58" s="77"/>
      <c r="B58" s="77"/>
      <c r="C58" s="77"/>
      <c r="D58" s="77"/>
      <c r="E58" s="77"/>
      <c r="F58" s="77"/>
      <c r="G58" s="77"/>
      <c r="H58" s="77"/>
      <c r="I58" s="77"/>
      <c r="J58" s="77"/>
      <c r="K58" s="77"/>
      <c r="L58" s="77"/>
      <c r="M58" s="77"/>
      <c r="N58" s="77"/>
      <c r="O58" s="77"/>
      <c r="P58" s="77"/>
      <c r="Q58" s="77"/>
      <c r="S58" s="77"/>
    </row>
    <row r="59" spans="1:19" s="39" customFormat="1">
      <c r="A59" s="77"/>
      <c r="B59" s="77"/>
      <c r="C59" s="77"/>
      <c r="D59" s="77"/>
      <c r="E59" s="77"/>
      <c r="F59" s="77"/>
      <c r="G59" s="77"/>
      <c r="H59" s="77"/>
      <c r="I59" s="77"/>
      <c r="J59" s="77"/>
      <c r="K59" s="77"/>
      <c r="L59" s="77"/>
      <c r="M59" s="77"/>
      <c r="N59" s="77"/>
      <c r="O59" s="77"/>
      <c r="P59" s="77"/>
      <c r="Q59" s="77"/>
      <c r="S59" s="77"/>
    </row>
    <row r="60" spans="1:19" s="39" customFormat="1">
      <c r="A60" s="77"/>
      <c r="B60" s="77"/>
      <c r="C60" s="77"/>
      <c r="D60" s="77"/>
      <c r="E60" s="77"/>
      <c r="F60" s="77"/>
      <c r="G60" s="77"/>
      <c r="H60" s="77"/>
      <c r="I60" s="77"/>
      <c r="J60" s="77"/>
      <c r="K60" s="77"/>
      <c r="L60" s="77"/>
      <c r="M60" s="77"/>
      <c r="N60" s="77"/>
      <c r="O60" s="77"/>
      <c r="P60" s="77"/>
      <c r="Q60" s="77"/>
      <c r="S60" s="77"/>
    </row>
    <row r="61" spans="1:19" s="39" customFormat="1">
      <c r="A61" s="77"/>
      <c r="B61" s="77"/>
      <c r="C61" s="77"/>
      <c r="D61" s="77"/>
      <c r="E61" s="77"/>
      <c r="F61" s="77"/>
      <c r="G61" s="77"/>
      <c r="H61" s="77"/>
      <c r="I61" s="77"/>
      <c r="J61" s="77"/>
      <c r="K61" s="77"/>
      <c r="L61" s="77"/>
      <c r="M61" s="77"/>
      <c r="N61" s="77"/>
      <c r="O61" s="77"/>
      <c r="P61" s="77"/>
      <c r="Q61" s="77"/>
      <c r="S61" s="77"/>
    </row>
    <row r="62" spans="1:19" s="39" customFormat="1">
      <c r="A62" s="77"/>
      <c r="B62" s="77"/>
      <c r="C62" s="77"/>
      <c r="D62" s="77"/>
      <c r="E62" s="77"/>
      <c r="F62" s="77"/>
      <c r="G62" s="77"/>
      <c r="H62" s="77"/>
      <c r="I62" s="77"/>
      <c r="J62" s="77"/>
      <c r="K62" s="77"/>
      <c r="L62" s="77"/>
      <c r="M62" s="77"/>
      <c r="N62" s="77"/>
      <c r="O62" s="77"/>
      <c r="P62" s="77"/>
      <c r="Q62" s="77"/>
      <c r="S62" s="77"/>
    </row>
    <row r="63" spans="1:19" s="39" customFormat="1">
      <c r="A63" s="77"/>
      <c r="B63" s="77"/>
      <c r="C63" s="77"/>
      <c r="D63" s="77"/>
      <c r="E63" s="77"/>
      <c r="F63" s="77"/>
      <c r="G63" s="77"/>
      <c r="H63" s="77"/>
      <c r="I63" s="77"/>
      <c r="J63" s="77"/>
      <c r="K63" s="77"/>
      <c r="L63" s="77"/>
      <c r="M63" s="77"/>
      <c r="N63" s="77"/>
      <c r="O63" s="77"/>
      <c r="P63" s="77"/>
      <c r="Q63" s="77"/>
      <c r="S63" s="77"/>
    </row>
    <row r="64" spans="1:19" s="39" customFormat="1">
      <c r="A64" s="77"/>
      <c r="B64" s="77"/>
      <c r="C64" s="77"/>
      <c r="D64" s="77"/>
      <c r="E64" s="77"/>
      <c r="F64" s="77"/>
      <c r="G64" s="77"/>
      <c r="H64" s="77"/>
      <c r="I64" s="77"/>
      <c r="J64" s="77"/>
      <c r="K64" s="77"/>
      <c r="L64" s="77"/>
      <c r="M64" s="77"/>
      <c r="N64" s="77"/>
      <c r="O64" s="77"/>
      <c r="P64" s="77"/>
      <c r="Q64" s="77"/>
      <c r="S64" s="77"/>
    </row>
    <row r="65" spans="1:19" s="39" customFormat="1">
      <c r="A65" s="77"/>
      <c r="B65" s="77"/>
      <c r="C65" s="77"/>
      <c r="D65" s="77"/>
      <c r="E65" s="77"/>
      <c r="F65" s="77"/>
      <c r="G65" s="77"/>
      <c r="H65" s="77"/>
      <c r="I65" s="77"/>
      <c r="J65" s="77"/>
      <c r="K65" s="77"/>
      <c r="L65" s="77"/>
      <c r="M65" s="77"/>
      <c r="N65" s="77"/>
      <c r="O65" s="77"/>
      <c r="P65" s="77"/>
      <c r="Q65" s="77"/>
      <c r="S65" s="77"/>
    </row>
    <row r="66" spans="1:19" s="39" customFormat="1">
      <c r="A66" s="77"/>
      <c r="B66" s="77"/>
      <c r="C66" s="77"/>
      <c r="D66" s="77"/>
      <c r="E66" s="77"/>
      <c r="F66" s="77"/>
      <c r="G66" s="77"/>
      <c r="H66" s="77"/>
      <c r="I66" s="77"/>
      <c r="J66" s="77"/>
      <c r="K66" s="77"/>
      <c r="L66" s="77"/>
      <c r="M66" s="77"/>
      <c r="N66" s="77"/>
      <c r="O66" s="77"/>
      <c r="P66" s="77"/>
      <c r="Q66" s="77"/>
      <c r="S66" s="77"/>
    </row>
    <row r="67" spans="1:19" s="39" customFormat="1">
      <c r="A67" s="77"/>
      <c r="B67" s="77"/>
      <c r="C67" s="77"/>
      <c r="D67" s="77"/>
      <c r="E67" s="77"/>
      <c r="F67" s="77"/>
      <c r="G67" s="77"/>
      <c r="H67" s="77"/>
      <c r="I67" s="77"/>
      <c r="J67" s="77"/>
      <c r="K67" s="77"/>
      <c r="L67" s="77"/>
      <c r="M67" s="77"/>
      <c r="N67" s="77"/>
      <c r="O67" s="77"/>
      <c r="P67" s="77"/>
      <c r="Q67" s="77"/>
      <c r="S67" s="77"/>
    </row>
    <row r="68" spans="1:19" s="39" customFormat="1">
      <c r="A68" s="77"/>
      <c r="B68" s="77"/>
      <c r="C68" s="77"/>
      <c r="D68" s="77"/>
      <c r="E68" s="77"/>
      <c r="F68" s="77"/>
      <c r="G68" s="77"/>
      <c r="H68" s="77"/>
      <c r="I68" s="77"/>
      <c r="J68" s="77"/>
      <c r="K68" s="77"/>
      <c r="L68" s="77"/>
      <c r="M68" s="77"/>
      <c r="N68" s="77"/>
      <c r="O68" s="77"/>
      <c r="P68" s="77"/>
      <c r="Q68" s="77"/>
      <c r="S68" s="77"/>
    </row>
    <row r="69" spans="1:19" s="39" customFormat="1">
      <c r="A69" s="77"/>
      <c r="B69" s="77"/>
      <c r="C69" s="77"/>
      <c r="D69" s="77"/>
      <c r="E69" s="77"/>
      <c r="F69" s="77"/>
      <c r="G69" s="77"/>
      <c r="H69" s="77"/>
      <c r="I69" s="77"/>
      <c r="J69" s="77"/>
      <c r="K69" s="77"/>
      <c r="L69" s="77"/>
      <c r="M69" s="77"/>
      <c r="N69" s="77"/>
      <c r="O69" s="77"/>
      <c r="P69" s="77"/>
      <c r="Q69" s="77"/>
      <c r="S69" s="77"/>
    </row>
    <row r="70" spans="1:19" s="39" customFormat="1">
      <c r="A70" s="77"/>
      <c r="B70" s="77"/>
      <c r="C70" s="77"/>
      <c r="D70" s="77"/>
      <c r="E70" s="77"/>
      <c r="F70" s="77"/>
      <c r="G70" s="77"/>
      <c r="H70" s="77"/>
      <c r="I70" s="77"/>
      <c r="J70" s="77"/>
      <c r="K70" s="77"/>
      <c r="L70" s="77"/>
      <c r="M70" s="77"/>
      <c r="N70" s="77"/>
      <c r="O70" s="77"/>
      <c r="P70" s="77"/>
      <c r="Q70" s="77"/>
      <c r="S70" s="77"/>
    </row>
    <row r="71" spans="1:19" s="39" customFormat="1">
      <c r="A71" s="77"/>
      <c r="B71" s="77"/>
      <c r="C71" s="77"/>
      <c r="D71" s="77"/>
      <c r="E71" s="77"/>
      <c r="F71" s="77"/>
      <c r="G71" s="77"/>
      <c r="H71" s="77"/>
      <c r="I71" s="77"/>
      <c r="J71" s="77"/>
      <c r="K71" s="77"/>
      <c r="L71" s="77"/>
      <c r="M71" s="77"/>
      <c r="N71" s="77"/>
      <c r="O71" s="77"/>
      <c r="P71" s="77"/>
      <c r="Q71" s="77"/>
      <c r="S71" s="77"/>
    </row>
    <row r="72" spans="1:19" s="39" customFormat="1">
      <c r="A72" s="77"/>
      <c r="B72" s="77"/>
      <c r="C72" s="77"/>
      <c r="D72" s="77"/>
      <c r="E72" s="77"/>
      <c r="F72" s="77"/>
      <c r="G72" s="77"/>
      <c r="H72" s="77"/>
      <c r="I72" s="77"/>
      <c r="J72" s="77"/>
      <c r="K72" s="77"/>
      <c r="L72" s="77"/>
      <c r="M72" s="77"/>
      <c r="N72" s="77"/>
      <c r="O72" s="77"/>
      <c r="P72" s="77"/>
      <c r="Q72" s="77"/>
      <c r="S72" s="77"/>
    </row>
    <row r="73" spans="1:19" s="39" customFormat="1">
      <c r="A73" s="77"/>
      <c r="B73" s="77"/>
      <c r="C73" s="77"/>
      <c r="D73" s="77"/>
      <c r="E73" s="77"/>
      <c r="F73" s="77"/>
      <c r="G73" s="77"/>
      <c r="H73" s="77"/>
      <c r="I73" s="77"/>
      <c r="J73" s="77"/>
      <c r="K73" s="77"/>
      <c r="L73" s="77"/>
      <c r="M73" s="77"/>
      <c r="N73" s="77"/>
      <c r="O73" s="77"/>
      <c r="P73" s="77"/>
      <c r="Q73" s="77"/>
      <c r="S73" s="77"/>
    </row>
    <row r="74" spans="1:19" s="39" customFormat="1">
      <c r="A74" s="77"/>
      <c r="B74" s="77"/>
      <c r="C74" s="77"/>
      <c r="D74" s="77"/>
      <c r="E74" s="77"/>
      <c r="F74" s="77"/>
      <c r="G74" s="77"/>
      <c r="H74" s="77"/>
      <c r="I74" s="77"/>
      <c r="J74" s="77"/>
      <c r="K74" s="77"/>
      <c r="L74" s="77"/>
      <c r="M74" s="77"/>
      <c r="N74" s="77"/>
      <c r="O74" s="77"/>
      <c r="P74" s="77"/>
      <c r="Q74" s="77"/>
      <c r="S74" s="77"/>
    </row>
    <row r="75" spans="1:19" s="39" customFormat="1">
      <c r="A75" s="77"/>
      <c r="B75" s="77"/>
      <c r="C75" s="77"/>
      <c r="D75" s="77"/>
      <c r="E75" s="77"/>
      <c r="F75" s="77"/>
      <c r="G75" s="77"/>
      <c r="H75" s="77"/>
      <c r="I75" s="77"/>
      <c r="J75" s="77"/>
      <c r="K75" s="77"/>
      <c r="L75" s="77"/>
      <c r="M75" s="77"/>
      <c r="N75" s="77"/>
      <c r="O75" s="77"/>
      <c r="P75" s="77"/>
      <c r="Q75" s="77"/>
      <c r="S75" s="77"/>
    </row>
    <row r="76" spans="1:19" s="39" customFormat="1">
      <c r="A76" s="77"/>
      <c r="B76" s="77"/>
      <c r="C76" s="77"/>
      <c r="D76" s="77"/>
      <c r="E76" s="77"/>
      <c r="F76" s="77"/>
      <c r="G76" s="77"/>
      <c r="H76" s="77"/>
      <c r="I76" s="77"/>
      <c r="J76" s="77"/>
      <c r="K76" s="77"/>
      <c r="L76" s="77"/>
      <c r="M76" s="77"/>
      <c r="N76" s="77"/>
      <c r="O76" s="77"/>
      <c r="P76" s="77"/>
      <c r="Q76" s="77"/>
      <c r="S76" s="77"/>
    </row>
    <row r="77" spans="1:19" s="39" customFormat="1">
      <c r="A77" s="77"/>
      <c r="B77" s="77"/>
      <c r="C77" s="77"/>
      <c r="D77" s="77"/>
      <c r="E77" s="77"/>
      <c r="F77" s="77"/>
      <c r="G77" s="77"/>
      <c r="H77" s="77"/>
      <c r="I77" s="77"/>
      <c r="J77" s="77"/>
      <c r="K77" s="77"/>
      <c r="L77" s="77"/>
      <c r="M77" s="77"/>
      <c r="N77" s="77"/>
      <c r="O77" s="77"/>
      <c r="P77" s="77"/>
      <c r="Q77" s="77"/>
      <c r="S77" s="77"/>
    </row>
    <row r="78" spans="1:19" s="39" customFormat="1">
      <c r="A78" s="77"/>
      <c r="B78" s="77"/>
      <c r="C78" s="77"/>
      <c r="D78" s="77"/>
      <c r="E78" s="77"/>
      <c r="F78" s="77"/>
      <c r="G78" s="77"/>
      <c r="H78" s="77"/>
      <c r="I78" s="77"/>
      <c r="J78" s="77"/>
      <c r="K78" s="77"/>
      <c r="L78" s="77"/>
      <c r="M78" s="77"/>
      <c r="N78" s="77"/>
      <c r="O78" s="77"/>
      <c r="P78" s="77"/>
      <c r="Q78" s="77"/>
      <c r="S78" s="77"/>
    </row>
    <row r="79" spans="1:19" s="39" customFormat="1">
      <c r="A79" s="77"/>
      <c r="B79" s="77"/>
      <c r="C79" s="77"/>
      <c r="D79" s="77"/>
      <c r="E79" s="77"/>
      <c r="F79" s="77"/>
      <c r="G79" s="77"/>
      <c r="H79" s="77"/>
      <c r="I79" s="77"/>
      <c r="J79" s="77"/>
      <c r="K79" s="77"/>
      <c r="L79" s="77"/>
      <c r="M79" s="77"/>
      <c r="N79" s="77"/>
      <c r="O79" s="77"/>
      <c r="P79" s="77"/>
      <c r="Q79" s="77"/>
      <c r="S79" s="77"/>
    </row>
    <row r="80" spans="1:19" s="39" customFormat="1">
      <c r="A80" s="77"/>
      <c r="B80" s="77"/>
      <c r="C80" s="77"/>
      <c r="D80" s="77"/>
      <c r="E80" s="77"/>
      <c r="F80" s="77"/>
      <c r="G80" s="77"/>
      <c r="H80" s="77"/>
      <c r="I80" s="77"/>
      <c r="J80" s="77"/>
      <c r="K80" s="77"/>
      <c r="L80" s="77"/>
      <c r="M80" s="77"/>
      <c r="N80" s="77"/>
      <c r="O80" s="77"/>
      <c r="P80" s="77"/>
      <c r="Q80" s="77"/>
      <c r="S80" s="77"/>
    </row>
    <row r="81" spans="1:19" s="39" customFormat="1">
      <c r="A81" s="77"/>
      <c r="B81" s="77"/>
      <c r="C81" s="77"/>
      <c r="D81" s="77"/>
      <c r="E81" s="77"/>
      <c r="F81" s="77"/>
      <c r="G81" s="77"/>
      <c r="H81" s="77"/>
      <c r="I81" s="77"/>
      <c r="J81" s="77"/>
      <c r="K81" s="77"/>
      <c r="L81" s="77"/>
      <c r="M81" s="77"/>
      <c r="N81" s="77"/>
      <c r="O81" s="77"/>
      <c r="P81" s="77"/>
      <c r="Q81" s="77"/>
      <c r="S81" s="77"/>
    </row>
    <row r="82" spans="1:19" s="39" customFormat="1">
      <c r="A82" s="77"/>
      <c r="B82" s="77"/>
      <c r="C82" s="77"/>
      <c r="D82" s="77"/>
      <c r="E82" s="77"/>
      <c r="F82" s="77"/>
      <c r="G82" s="77"/>
      <c r="H82" s="77"/>
      <c r="I82" s="77"/>
      <c r="J82" s="77"/>
      <c r="K82" s="77"/>
      <c r="L82" s="77"/>
      <c r="M82" s="77"/>
      <c r="N82" s="77"/>
      <c r="O82" s="77"/>
      <c r="P82" s="77"/>
      <c r="Q82" s="77"/>
      <c r="S82" s="77"/>
    </row>
    <row r="83" spans="1:19" s="39" customFormat="1">
      <c r="A83" s="77"/>
      <c r="B83" s="77"/>
      <c r="C83" s="77"/>
      <c r="D83" s="77"/>
      <c r="E83" s="77"/>
      <c r="F83" s="77"/>
      <c r="G83" s="77"/>
      <c r="H83" s="77"/>
      <c r="I83" s="77"/>
      <c r="J83" s="77"/>
      <c r="K83" s="77"/>
      <c r="L83" s="77"/>
      <c r="M83" s="77"/>
      <c r="N83" s="77"/>
      <c r="O83" s="77"/>
      <c r="P83" s="77"/>
      <c r="Q83" s="77"/>
      <c r="S83" s="77"/>
    </row>
    <row r="84" spans="1:19" s="39" customFormat="1">
      <c r="A84" s="77"/>
      <c r="B84" s="77"/>
      <c r="C84" s="77"/>
      <c r="D84" s="77"/>
      <c r="E84" s="77"/>
      <c r="F84" s="77"/>
      <c r="G84" s="77"/>
      <c r="H84" s="77"/>
      <c r="I84" s="77"/>
      <c r="J84" s="77"/>
      <c r="K84" s="77"/>
      <c r="L84" s="77"/>
      <c r="M84" s="77"/>
      <c r="N84" s="77"/>
      <c r="O84" s="77"/>
      <c r="P84" s="77"/>
      <c r="Q84" s="77"/>
      <c r="S84" s="77"/>
    </row>
    <row r="85" spans="1:19" s="39" customFormat="1">
      <c r="A85" s="77"/>
      <c r="B85" s="77"/>
      <c r="C85" s="77"/>
      <c r="D85" s="77"/>
      <c r="E85" s="77"/>
      <c r="F85" s="77"/>
      <c r="G85" s="77"/>
      <c r="H85" s="77"/>
      <c r="I85" s="77"/>
      <c r="J85" s="77"/>
      <c r="K85" s="77"/>
      <c r="L85" s="77"/>
      <c r="M85" s="77"/>
      <c r="N85" s="77"/>
      <c r="O85" s="77"/>
      <c r="P85" s="77"/>
      <c r="Q85" s="77"/>
      <c r="S85" s="77"/>
    </row>
    <row r="86" spans="1:19" s="39" customFormat="1">
      <c r="A86" s="77"/>
      <c r="B86" s="77"/>
      <c r="C86" s="77"/>
      <c r="D86" s="77"/>
      <c r="E86" s="77"/>
      <c r="F86" s="77"/>
      <c r="G86" s="77"/>
      <c r="H86" s="77"/>
      <c r="I86" s="77"/>
      <c r="J86" s="77"/>
      <c r="K86" s="77"/>
      <c r="L86" s="77"/>
      <c r="M86" s="77"/>
      <c r="N86" s="77"/>
      <c r="O86" s="77"/>
      <c r="P86" s="77"/>
      <c r="Q86" s="77"/>
      <c r="S86" s="77"/>
    </row>
    <row r="87" spans="1:19" s="39" customFormat="1">
      <c r="A87" s="77"/>
      <c r="B87" s="77"/>
      <c r="C87" s="77"/>
      <c r="D87" s="77"/>
      <c r="E87" s="77"/>
      <c r="F87" s="77"/>
      <c r="G87" s="77"/>
      <c r="H87" s="77"/>
      <c r="I87" s="77"/>
      <c r="J87" s="77"/>
      <c r="K87" s="77"/>
      <c r="L87" s="77"/>
      <c r="M87" s="77"/>
      <c r="N87" s="77"/>
      <c r="O87" s="77"/>
      <c r="P87" s="77"/>
      <c r="Q87" s="77"/>
      <c r="S87" s="77"/>
    </row>
    <row r="88" spans="1:19" s="39" customFormat="1">
      <c r="A88" s="77"/>
      <c r="B88" s="77"/>
      <c r="C88" s="77"/>
      <c r="D88" s="77"/>
      <c r="E88" s="77"/>
      <c r="F88" s="77"/>
      <c r="G88" s="77"/>
      <c r="H88" s="77"/>
      <c r="I88" s="77"/>
      <c r="J88" s="77"/>
      <c r="K88" s="77"/>
      <c r="L88" s="77"/>
      <c r="M88" s="77"/>
      <c r="N88" s="77"/>
      <c r="O88" s="77"/>
      <c r="P88" s="77"/>
      <c r="Q88" s="77"/>
      <c r="S88" s="77"/>
    </row>
    <row r="89" spans="1:19" s="39" customFormat="1">
      <c r="A89" s="77"/>
      <c r="B89" s="77"/>
      <c r="C89" s="77"/>
      <c r="D89" s="77"/>
      <c r="E89" s="77"/>
      <c r="F89" s="77"/>
      <c r="G89" s="77"/>
      <c r="H89" s="77"/>
      <c r="I89" s="77"/>
      <c r="J89" s="77"/>
      <c r="K89" s="77"/>
      <c r="L89" s="77"/>
      <c r="M89" s="77"/>
      <c r="N89" s="77"/>
      <c r="O89" s="77"/>
      <c r="P89" s="77"/>
      <c r="Q89" s="77"/>
      <c r="S89" s="77"/>
    </row>
    <row r="90" spans="1:19" s="39" customFormat="1">
      <c r="A90" s="77"/>
      <c r="B90" s="77"/>
      <c r="C90" s="77"/>
      <c r="D90" s="77"/>
      <c r="E90" s="77"/>
      <c r="F90" s="77"/>
      <c r="G90" s="77"/>
      <c r="H90" s="77"/>
      <c r="I90" s="77"/>
      <c r="J90" s="77"/>
      <c r="K90" s="77"/>
      <c r="L90" s="77"/>
      <c r="M90" s="77"/>
      <c r="N90" s="77"/>
      <c r="O90" s="77"/>
      <c r="P90" s="77"/>
      <c r="Q90" s="77"/>
      <c r="S90" s="77"/>
    </row>
    <row r="91" spans="1:19" s="39" customFormat="1">
      <c r="A91" s="77"/>
      <c r="B91" s="77"/>
      <c r="C91" s="77"/>
      <c r="D91" s="77"/>
      <c r="E91" s="77"/>
      <c r="F91" s="77"/>
      <c r="G91" s="77"/>
      <c r="H91" s="77"/>
      <c r="I91" s="77"/>
      <c r="J91" s="77"/>
      <c r="K91" s="77"/>
      <c r="L91" s="77"/>
      <c r="M91" s="77"/>
      <c r="N91" s="77"/>
      <c r="O91" s="77"/>
      <c r="P91" s="77"/>
      <c r="Q91" s="77"/>
      <c r="S91" s="77"/>
    </row>
    <row r="92" spans="1:19" s="39" customFormat="1">
      <c r="A92" s="77"/>
      <c r="B92" s="77"/>
      <c r="C92" s="77"/>
      <c r="D92" s="77"/>
      <c r="E92" s="77"/>
      <c r="F92" s="77"/>
      <c r="G92" s="77"/>
      <c r="H92" s="77"/>
      <c r="I92" s="77"/>
      <c r="J92" s="77"/>
      <c r="K92" s="77"/>
      <c r="L92" s="77"/>
      <c r="M92" s="77"/>
      <c r="N92" s="77"/>
      <c r="O92" s="77"/>
      <c r="P92" s="77"/>
      <c r="Q92" s="77"/>
      <c r="S92" s="77"/>
    </row>
    <row r="93" spans="1:19" s="39" customFormat="1">
      <c r="A93" s="77"/>
      <c r="B93" s="77"/>
      <c r="C93" s="77"/>
      <c r="D93" s="77"/>
      <c r="E93" s="77"/>
      <c r="F93" s="77"/>
      <c r="G93" s="77"/>
      <c r="H93" s="77"/>
      <c r="I93" s="77"/>
      <c r="J93" s="77"/>
      <c r="K93" s="77"/>
      <c r="L93" s="77"/>
      <c r="M93" s="77"/>
      <c r="N93" s="77"/>
      <c r="O93" s="77"/>
      <c r="P93" s="77"/>
      <c r="Q93" s="77"/>
      <c r="S93" s="77"/>
    </row>
    <row r="94" spans="1:19" s="39" customFormat="1">
      <c r="A94" s="77"/>
      <c r="B94" s="77"/>
      <c r="C94" s="77"/>
      <c r="D94" s="77"/>
      <c r="E94" s="77"/>
      <c r="F94" s="77"/>
      <c r="G94" s="77"/>
      <c r="H94" s="77"/>
      <c r="I94" s="77"/>
      <c r="J94" s="77"/>
      <c r="K94" s="77"/>
      <c r="L94" s="77"/>
      <c r="M94" s="77"/>
      <c r="N94" s="77"/>
      <c r="O94" s="77"/>
      <c r="P94" s="77"/>
      <c r="Q94" s="77"/>
      <c r="S94" s="77"/>
    </row>
    <row r="95" spans="1:19" s="39" customFormat="1">
      <c r="A95" s="77"/>
      <c r="B95" s="77"/>
      <c r="C95" s="77"/>
      <c r="D95" s="77"/>
      <c r="E95" s="77"/>
      <c r="F95" s="77"/>
      <c r="G95" s="77"/>
      <c r="H95" s="77"/>
      <c r="I95" s="77"/>
      <c r="J95" s="77"/>
      <c r="K95" s="77"/>
      <c r="L95" s="77"/>
      <c r="M95" s="77"/>
      <c r="N95" s="77"/>
      <c r="O95" s="77"/>
      <c r="P95" s="77"/>
      <c r="Q95" s="77"/>
      <c r="S95" s="77"/>
    </row>
    <row r="96" spans="1:19" s="39" customFormat="1">
      <c r="A96" s="77"/>
      <c r="B96" s="77"/>
      <c r="C96" s="77"/>
      <c r="D96" s="77"/>
      <c r="E96" s="77"/>
      <c r="F96" s="77"/>
      <c r="G96" s="77"/>
      <c r="H96" s="77"/>
      <c r="I96" s="77"/>
      <c r="J96" s="77"/>
      <c r="K96" s="77"/>
      <c r="L96" s="77"/>
      <c r="M96" s="77"/>
      <c r="N96" s="77"/>
      <c r="O96" s="77"/>
      <c r="P96" s="77"/>
      <c r="Q96" s="77"/>
      <c r="S96" s="77"/>
    </row>
    <row r="97" spans="1:19" s="39" customFormat="1">
      <c r="A97" s="77"/>
      <c r="B97" s="77"/>
      <c r="C97" s="77"/>
      <c r="D97" s="77"/>
      <c r="E97" s="77"/>
      <c r="F97" s="77"/>
      <c r="G97" s="77"/>
      <c r="H97" s="77"/>
      <c r="I97" s="77"/>
      <c r="J97" s="77"/>
      <c r="K97" s="77"/>
      <c r="L97" s="77"/>
      <c r="M97" s="77"/>
      <c r="N97" s="77"/>
      <c r="O97" s="77"/>
      <c r="P97" s="77"/>
      <c r="Q97" s="77"/>
      <c r="S97" s="77"/>
    </row>
    <row r="98" spans="1:19" s="39" customFormat="1">
      <c r="A98" s="77"/>
      <c r="B98" s="77"/>
      <c r="C98" s="77"/>
      <c r="D98" s="77"/>
      <c r="E98" s="77"/>
      <c r="F98" s="77"/>
      <c r="G98" s="77"/>
      <c r="H98" s="77"/>
      <c r="I98" s="77"/>
      <c r="J98" s="77"/>
      <c r="K98" s="77"/>
      <c r="L98" s="77"/>
      <c r="M98" s="77"/>
      <c r="N98" s="77"/>
      <c r="O98" s="77"/>
      <c r="P98" s="77"/>
      <c r="Q98" s="77"/>
      <c r="S98" s="77"/>
    </row>
    <row r="99" spans="1:19" s="39" customFormat="1">
      <c r="A99" s="77"/>
      <c r="B99" s="77"/>
      <c r="C99" s="77"/>
      <c r="D99" s="77"/>
      <c r="E99" s="77"/>
      <c r="F99" s="77"/>
      <c r="G99" s="77"/>
      <c r="H99" s="77"/>
      <c r="I99" s="77"/>
      <c r="J99" s="77"/>
      <c r="K99" s="77"/>
      <c r="L99" s="77"/>
      <c r="M99" s="77"/>
      <c r="N99" s="77"/>
      <c r="O99" s="77"/>
      <c r="P99" s="77"/>
      <c r="Q99" s="77"/>
      <c r="S99" s="77"/>
    </row>
    <row r="100" spans="1:19" s="39" customFormat="1">
      <c r="A100" s="77"/>
      <c r="B100" s="77"/>
      <c r="C100" s="77"/>
      <c r="D100" s="77"/>
      <c r="E100" s="77"/>
      <c r="F100" s="77"/>
      <c r="G100" s="77"/>
      <c r="H100" s="77"/>
      <c r="I100" s="77"/>
      <c r="J100" s="77"/>
      <c r="K100" s="77"/>
      <c r="L100" s="77"/>
      <c r="M100" s="77"/>
      <c r="N100" s="77"/>
      <c r="O100" s="77"/>
      <c r="P100" s="77"/>
      <c r="Q100" s="77"/>
      <c r="S100" s="77"/>
    </row>
    <row r="101" spans="1:19" s="39" customFormat="1">
      <c r="A101" s="77"/>
      <c r="B101" s="77"/>
      <c r="C101" s="77"/>
      <c r="D101" s="77"/>
      <c r="E101" s="77"/>
      <c r="F101" s="77"/>
      <c r="G101" s="77"/>
      <c r="H101" s="77"/>
      <c r="I101" s="77"/>
      <c r="J101" s="77"/>
      <c r="K101" s="77"/>
      <c r="L101" s="77"/>
      <c r="M101" s="77"/>
      <c r="N101" s="77"/>
      <c r="O101" s="77"/>
      <c r="P101" s="77"/>
      <c r="Q101" s="77"/>
      <c r="S101" s="77"/>
    </row>
    <row r="102" spans="1:19" s="39" customFormat="1">
      <c r="A102" s="77"/>
      <c r="B102" s="77"/>
      <c r="C102" s="77"/>
      <c r="D102" s="77"/>
      <c r="E102" s="77"/>
      <c r="F102" s="77"/>
      <c r="G102" s="77"/>
      <c r="H102" s="77"/>
      <c r="I102" s="77"/>
      <c r="J102" s="77"/>
      <c r="K102" s="77"/>
      <c r="L102" s="77"/>
      <c r="M102" s="77"/>
      <c r="N102" s="77"/>
      <c r="O102" s="77"/>
      <c r="P102" s="77"/>
      <c r="Q102" s="77"/>
      <c r="S102" s="77"/>
    </row>
    <row r="103" spans="1:19" s="39" customFormat="1">
      <c r="S103" s="77"/>
    </row>
    <row r="104" spans="1:19" s="39" customFormat="1">
      <c r="S104" s="77"/>
    </row>
    <row r="105" spans="1:19" s="39" customFormat="1">
      <c r="S105" s="77"/>
    </row>
    <row r="106" spans="1:19" s="39" customFormat="1">
      <c r="S106" s="77"/>
    </row>
    <row r="107" spans="1:19" s="39" customFormat="1">
      <c r="S107" s="77"/>
    </row>
    <row r="108" spans="1:19" s="39" customFormat="1">
      <c r="S108" s="77"/>
    </row>
    <row r="109" spans="1:19" s="39" customFormat="1">
      <c r="S109" s="77"/>
    </row>
    <row r="110" spans="1:19" s="39" customFormat="1">
      <c r="S110" s="77"/>
    </row>
    <row r="111" spans="1:19" s="39" customFormat="1">
      <c r="S111" s="77"/>
    </row>
    <row r="112" spans="1:19" s="39" customFormat="1">
      <c r="S112" s="77"/>
    </row>
    <row r="113" spans="1:19" s="39" customFormat="1">
      <c r="S113" s="77"/>
    </row>
    <row r="114" spans="1:19" s="39" customFormat="1">
      <c r="S114" s="77"/>
    </row>
    <row r="115" spans="1:19">
      <c r="A115" s="39"/>
      <c r="B115" s="39"/>
      <c r="C115" s="39"/>
      <c r="D115" s="39"/>
      <c r="E115" s="39"/>
      <c r="F115" s="39"/>
      <c r="G115" s="39"/>
      <c r="H115" s="39"/>
      <c r="I115" s="39"/>
      <c r="J115" s="39"/>
      <c r="K115" s="39"/>
      <c r="L115" s="39"/>
      <c r="M115" s="39"/>
      <c r="N115" s="39"/>
      <c r="O115" s="39"/>
      <c r="P115" s="39"/>
      <c r="Q115" s="39"/>
    </row>
  </sheetData>
  <mergeCells count="2">
    <mergeCell ref="A1:Q1"/>
    <mergeCell ref="A3:Q3"/>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9"/>
  <sheetViews>
    <sheetView showGridLines="0" view="pageBreakPreview" zoomScale="55" zoomScaleNormal="70" zoomScaleSheetLayoutView="55" workbookViewId="0">
      <selection activeCell="W31" sqref="W31"/>
    </sheetView>
  </sheetViews>
  <sheetFormatPr baseColWidth="10" defaultColWidth="11.42578125" defaultRowHeight="15"/>
  <cols>
    <col min="1" max="1" width="17.42578125" style="77" customWidth="1"/>
    <col min="2" max="2" width="10.140625" style="77" customWidth="1"/>
    <col min="3" max="3" width="12" style="77" customWidth="1"/>
    <col min="4" max="4" width="10" style="77" customWidth="1"/>
    <col min="5" max="5" width="10.140625" style="77" customWidth="1"/>
    <col min="6" max="6" width="11.140625" style="77" customWidth="1"/>
    <col min="7" max="7" width="12" style="77" customWidth="1"/>
    <col min="8" max="9" width="11.42578125" style="77"/>
    <col min="10" max="10" width="15.85546875" style="77" customWidth="1"/>
    <col min="11" max="11" width="13.5703125" style="77" customWidth="1"/>
    <col min="12" max="12" width="12.42578125" style="77" customWidth="1"/>
    <col min="13" max="13" width="19.42578125" style="77" customWidth="1"/>
    <col min="14" max="14" width="13.5703125" style="77" customWidth="1"/>
    <col min="15" max="15" width="11.42578125" style="77"/>
    <col min="16" max="16" width="12.42578125" style="77" customWidth="1"/>
    <col min="17" max="17" width="13.28515625" style="77" bestFit="1" customWidth="1"/>
    <col min="18" max="18" width="18.7109375" style="77" customWidth="1"/>
    <col min="19" max="16384" width="11.42578125" style="77"/>
  </cols>
  <sheetData>
    <row r="1" spans="1:20" ht="80.25" customHeight="1">
      <c r="A1" s="1873"/>
      <c r="B1" s="1873"/>
      <c r="C1" s="1873"/>
      <c r="D1" s="1873"/>
      <c r="E1" s="1873"/>
      <c r="F1" s="1873"/>
      <c r="G1" s="1873"/>
      <c r="H1" s="1873"/>
      <c r="I1" s="1873"/>
      <c r="J1" s="1873"/>
      <c r="K1" s="1873"/>
      <c r="L1" s="1873"/>
      <c r="M1" s="1873"/>
      <c r="N1" s="1873"/>
      <c r="O1" s="1873"/>
      <c r="P1" s="1873"/>
      <c r="Q1" s="1873"/>
      <c r="R1" s="1873"/>
      <c r="S1" s="1873"/>
    </row>
    <row r="2" spans="1:20" ht="10.5" customHeight="1">
      <c r="A2" s="1904"/>
      <c r="B2" s="1904"/>
      <c r="C2" s="1904"/>
      <c r="D2" s="1904"/>
      <c r="E2" s="1904"/>
      <c r="F2" s="1904"/>
      <c r="G2" s="1904"/>
      <c r="H2" s="1904"/>
      <c r="I2" s="1904"/>
      <c r="J2" s="1904"/>
      <c r="K2" s="1904"/>
      <c r="L2" s="1904"/>
      <c r="M2" s="1904"/>
      <c r="N2" s="1904"/>
      <c r="O2" s="1904"/>
      <c r="P2" s="1904"/>
      <c r="Q2" s="1904"/>
      <c r="R2" s="1904"/>
      <c r="S2" s="1904"/>
    </row>
    <row r="3" spans="1:20" ht="24.75" customHeight="1">
      <c r="A3" s="1905" t="s">
        <v>173</v>
      </c>
      <c r="B3" s="1906"/>
      <c r="C3" s="1906"/>
      <c r="D3" s="1906"/>
      <c r="E3" s="1906"/>
      <c r="F3" s="1906"/>
      <c r="G3" s="1906"/>
      <c r="H3" s="1906"/>
      <c r="I3" s="1906"/>
      <c r="J3" s="1906"/>
      <c r="K3" s="1906"/>
      <c r="L3" s="1906"/>
      <c r="M3" s="1906"/>
      <c r="N3" s="1906"/>
      <c r="O3" s="1906"/>
      <c r="P3" s="1907"/>
      <c r="R3" s="94"/>
      <c r="S3" s="94"/>
    </row>
    <row r="4" spans="1:20" ht="36" customHeight="1">
      <c r="A4" s="512" t="s">
        <v>0</v>
      </c>
      <c r="B4" s="515" t="s">
        <v>86</v>
      </c>
      <c r="C4" s="515" t="s">
        <v>87</v>
      </c>
      <c r="D4" s="515" t="s">
        <v>88</v>
      </c>
      <c r="E4" s="515" t="s">
        <v>89</v>
      </c>
      <c r="F4" s="515" t="s">
        <v>90</v>
      </c>
      <c r="G4" s="515" t="s">
        <v>91</v>
      </c>
      <c r="H4" s="515" t="s">
        <v>92</v>
      </c>
      <c r="I4" s="516" t="s">
        <v>93</v>
      </c>
      <c r="J4" s="515" t="s">
        <v>94</v>
      </c>
      <c r="K4" s="512" t="s">
        <v>95</v>
      </c>
      <c r="L4" s="515" t="s">
        <v>96</v>
      </c>
      <c r="M4" s="515" t="s">
        <v>97</v>
      </c>
      <c r="N4" s="515" t="s">
        <v>85</v>
      </c>
      <c r="O4" s="515" t="s">
        <v>604</v>
      </c>
      <c r="P4" s="513" t="s">
        <v>99</v>
      </c>
      <c r="R4" s="94"/>
      <c r="S4" s="94"/>
    </row>
    <row r="5" spans="1:20" ht="15.75">
      <c r="A5" s="517">
        <v>2005</v>
      </c>
      <c r="B5" s="514">
        <f>+'III.5.12.Trasp. recibidos'!B5-'III.5.13.Trasp. cedidos'!B5</f>
        <v>0</v>
      </c>
      <c r="C5" s="514">
        <f>+'III.5.12.Trasp. recibidos'!C5-'III.5.13.Trasp. cedidos'!C5</f>
        <v>-53</v>
      </c>
      <c r="D5" s="514">
        <f>+'III.5.12.Trasp. recibidos'!D5-'III.5.13.Trasp. cedidos'!D5</f>
        <v>265</v>
      </c>
      <c r="E5" s="514">
        <f>+'III.5.12.Trasp. recibidos'!E5-'III.5.13.Trasp. cedidos'!E5</f>
        <v>-20</v>
      </c>
      <c r="F5" s="514">
        <f>+'III.5.12.Trasp. recibidos'!F5-'III.5.13.Trasp. cedidos'!F5</f>
        <v>0</v>
      </c>
      <c r="G5" s="514">
        <f>+'III.5.12.Trasp. recibidos'!G5-'III.5.13.Trasp. cedidos'!G5</f>
        <v>52</v>
      </c>
      <c r="H5" s="514">
        <f>+'III.5.12.Trasp. recibidos'!H5-'III.5.13.Trasp. cedidos'!H5</f>
        <v>-5</v>
      </c>
      <c r="I5" s="514">
        <f>+'III.5.12.Trasp. recibidos'!I5-'III.5.13.Trasp. cedidos'!I5</f>
        <v>-65</v>
      </c>
      <c r="J5" s="514">
        <f>+'III.5.12.Trasp. recibidos'!J5-'III.5.13.Trasp. cedidos'!J5</f>
        <v>-174</v>
      </c>
      <c r="K5" s="866">
        <f t="shared" ref="K5:K13" si="0">SUM(B5:J5)</f>
        <v>0</v>
      </c>
      <c r="L5" s="514">
        <f>+'III.5.12.Trasp. recibidos'!L5-'III.5.13.Trasp. cedidos'!L5</f>
        <v>0</v>
      </c>
      <c r="M5" s="514">
        <f>+'III.5.12.Trasp. recibidos'!M5-'III.5.13.Trasp. cedidos'!M5</f>
        <v>0</v>
      </c>
      <c r="N5" s="514">
        <f>+'III.5.12.Trasp. recibidos'!N5-'III.5.13.Trasp. cedidos'!N5</f>
        <v>0</v>
      </c>
      <c r="O5" s="514">
        <f>+'III.5.12.Trasp. recibidos'!O5-'III.5.13.Trasp. cedidos'!O5</f>
        <v>0</v>
      </c>
      <c r="P5" s="866">
        <f>SUM(L5:O5)</f>
        <v>0</v>
      </c>
      <c r="T5" s="117"/>
    </row>
    <row r="6" spans="1:20" ht="15.75">
      <c r="A6" s="517">
        <v>2006</v>
      </c>
      <c r="B6" s="514">
        <f>+'III.5.12.Trasp. recibidos'!B6-'III.5.13.Trasp. cedidos'!B6</f>
        <v>0</v>
      </c>
      <c r="C6" s="514">
        <f>+'III.5.12.Trasp. recibidos'!C6-'III.5.13.Trasp. cedidos'!C6</f>
        <v>-62</v>
      </c>
      <c r="D6" s="514">
        <f>+'III.5.12.Trasp. recibidos'!D6-'III.5.13.Trasp. cedidos'!D6</f>
        <v>336</v>
      </c>
      <c r="E6" s="514">
        <f>+'III.5.12.Trasp. recibidos'!E6-'III.5.13.Trasp. cedidos'!E6</f>
        <v>-5</v>
      </c>
      <c r="F6" s="514">
        <f>+'III.5.12.Trasp. recibidos'!F6-'III.5.13.Trasp. cedidos'!F6</f>
        <v>0</v>
      </c>
      <c r="G6" s="514">
        <f>+'III.5.12.Trasp. recibidos'!G6-'III.5.13.Trasp. cedidos'!G6</f>
        <v>989</v>
      </c>
      <c r="H6" s="514">
        <f>+'III.5.12.Trasp. recibidos'!H6-'III.5.13.Trasp. cedidos'!H6</f>
        <v>14</v>
      </c>
      <c r="I6" s="514">
        <f>+'III.5.12.Trasp. recibidos'!I6-'III.5.13.Trasp. cedidos'!I6</f>
        <v>-136</v>
      </c>
      <c r="J6" s="514">
        <f>+'III.5.12.Trasp. recibidos'!J6-'III.5.13.Trasp. cedidos'!J6</f>
        <v>-178</v>
      </c>
      <c r="K6" s="519">
        <f t="shared" si="0"/>
        <v>958</v>
      </c>
      <c r="L6" s="514">
        <f>+'III.5.12.Trasp. recibidos'!L6-'III.5.13.Trasp. cedidos'!L6</f>
        <v>-259</v>
      </c>
      <c r="M6" s="514">
        <f>+'III.5.12.Trasp. recibidos'!M6-'III.5.13.Trasp. cedidos'!M6</f>
        <v>-719</v>
      </c>
      <c r="N6" s="514">
        <f>+'III.5.12.Trasp. recibidos'!N6-'III.5.13.Trasp. cedidos'!N6</f>
        <v>0</v>
      </c>
      <c r="O6" s="514">
        <f>+'III.5.12.Trasp. recibidos'!O6-'III.5.13.Trasp. cedidos'!O6</f>
        <v>20</v>
      </c>
      <c r="P6" s="519">
        <f t="shared" ref="P6:P15" si="1">SUM(L6:O6)</f>
        <v>-958</v>
      </c>
      <c r="R6" s="94"/>
      <c r="S6" s="94"/>
      <c r="T6" s="117"/>
    </row>
    <row r="7" spans="1:20" ht="17.25" customHeight="1">
      <c r="A7" s="517">
        <v>2007</v>
      </c>
      <c r="B7" s="514">
        <f>+'III.5.12.Trasp. recibidos'!B7-'III.5.13.Trasp. cedidos'!B7</f>
        <v>0</v>
      </c>
      <c r="C7" s="514">
        <f>+'III.5.12.Trasp. recibidos'!C7-'III.5.13.Trasp. cedidos'!C7</f>
        <v>-363</v>
      </c>
      <c r="D7" s="514">
        <f>+'III.5.12.Trasp. recibidos'!D7-'III.5.13.Trasp. cedidos'!D7</f>
        <v>47</v>
      </c>
      <c r="E7" s="514">
        <f>+'III.5.12.Trasp. recibidos'!E7-'III.5.13.Trasp. cedidos'!E7</f>
        <v>-72</v>
      </c>
      <c r="F7" s="514">
        <f>+'III.5.12.Trasp. recibidos'!F7-'III.5.13.Trasp. cedidos'!F7</f>
        <v>0</v>
      </c>
      <c r="G7" s="514">
        <f>+'III.5.12.Trasp. recibidos'!G7-'III.5.13.Trasp. cedidos'!G7</f>
        <v>530</v>
      </c>
      <c r="H7" s="514">
        <f>+'III.5.12.Trasp. recibidos'!H7-'III.5.13.Trasp. cedidos'!H7</f>
        <v>0</v>
      </c>
      <c r="I7" s="514">
        <f>+'III.5.12.Trasp. recibidos'!I7-'III.5.13.Trasp. cedidos'!I7</f>
        <v>-261</v>
      </c>
      <c r="J7" s="514">
        <f>+'III.5.12.Trasp. recibidos'!J7-'III.5.13.Trasp. cedidos'!J7</f>
        <v>221</v>
      </c>
      <c r="K7" s="519">
        <f t="shared" si="0"/>
        <v>102</v>
      </c>
      <c r="L7" s="514">
        <f>+'III.5.12.Trasp. recibidos'!L7-'III.5.13.Trasp. cedidos'!L7</f>
        <v>-25</v>
      </c>
      <c r="M7" s="514">
        <f>+'III.5.12.Trasp. recibidos'!M7-'III.5.13.Trasp. cedidos'!M7</f>
        <v>-77</v>
      </c>
      <c r="N7" s="514">
        <f>+'III.5.12.Trasp. recibidos'!N7-'III.5.13.Trasp. cedidos'!N7</f>
        <v>0</v>
      </c>
      <c r="O7" s="514">
        <f>+'III.5.12.Trasp. recibidos'!O7-'III.5.13.Trasp. cedidos'!O7</f>
        <v>0</v>
      </c>
      <c r="P7" s="519">
        <f t="shared" si="1"/>
        <v>-102</v>
      </c>
      <c r="R7" s="94"/>
      <c r="S7" s="94"/>
      <c r="T7" s="117"/>
    </row>
    <row r="8" spans="1:20" ht="17.25" customHeight="1">
      <c r="A8" s="517">
        <v>2008</v>
      </c>
      <c r="B8" s="514">
        <f>+'III.5.12.Trasp. recibidos'!B8-'III.5.13.Trasp. cedidos'!B8</f>
        <v>0</v>
      </c>
      <c r="C8" s="514">
        <f>+'III.5.12.Trasp. recibidos'!C8-'III.5.13.Trasp. cedidos'!C8</f>
        <v>0</v>
      </c>
      <c r="D8" s="514">
        <f>+'III.5.12.Trasp. recibidos'!D8-'III.5.13.Trasp. cedidos'!D8</f>
        <v>0</v>
      </c>
      <c r="E8" s="514">
        <f>+'III.5.12.Trasp. recibidos'!E8-'III.5.13.Trasp. cedidos'!E8</f>
        <v>-71</v>
      </c>
      <c r="F8" s="514">
        <f>+'III.5.12.Trasp. recibidos'!F8-'III.5.13.Trasp. cedidos'!F8</f>
        <v>0</v>
      </c>
      <c r="G8" s="514">
        <f>+'III.5.12.Trasp. recibidos'!G8-'III.5.13.Trasp. cedidos'!G8</f>
        <v>432</v>
      </c>
      <c r="H8" s="514">
        <f>+'III.5.12.Trasp. recibidos'!H8-'III.5.13.Trasp. cedidos'!H8</f>
        <v>-16</v>
      </c>
      <c r="I8" s="514">
        <f>+'III.5.12.Trasp. recibidos'!I8-'III.5.13.Trasp. cedidos'!I8</f>
        <v>-231</v>
      </c>
      <c r="J8" s="514">
        <f>+'III.5.12.Trasp. recibidos'!J8-'III.5.13.Trasp. cedidos'!J8</f>
        <v>-48</v>
      </c>
      <c r="K8" s="519">
        <f t="shared" si="0"/>
        <v>66</v>
      </c>
      <c r="L8" s="514">
        <f>+'III.5.12.Trasp. recibidos'!L8-'III.5.13.Trasp. cedidos'!L8</f>
        <v>-7</v>
      </c>
      <c r="M8" s="514">
        <f>+'III.5.12.Trasp. recibidos'!M8-'III.5.13.Trasp. cedidos'!M8</f>
        <v>-59</v>
      </c>
      <c r="N8" s="514">
        <f>+'III.5.12.Trasp. recibidos'!N8-'III.5.13.Trasp. cedidos'!N8</f>
        <v>0</v>
      </c>
      <c r="O8" s="514">
        <f>+'III.5.12.Trasp. recibidos'!O8-'III.5.13.Trasp. cedidos'!O8</f>
        <v>0</v>
      </c>
      <c r="P8" s="519">
        <f t="shared" si="1"/>
        <v>-66</v>
      </c>
      <c r="R8" s="47"/>
      <c r="S8" s="82"/>
      <c r="T8" s="117"/>
    </row>
    <row r="9" spans="1:20" ht="15.75">
      <c r="A9" s="517">
        <v>2009</v>
      </c>
      <c r="B9" s="514">
        <f>+'III.5.12.Trasp. recibidos'!B9-'III.5.13.Trasp. cedidos'!B9</f>
        <v>0</v>
      </c>
      <c r="C9" s="514">
        <f>+'III.5.12.Trasp. recibidos'!C9-'III.5.13.Trasp. cedidos'!C9</f>
        <v>0</v>
      </c>
      <c r="D9" s="514">
        <f>+'III.5.12.Trasp. recibidos'!D9-'III.5.13.Trasp. cedidos'!D9</f>
        <v>0</v>
      </c>
      <c r="E9" s="514">
        <f>+'III.5.12.Trasp. recibidos'!E9-'III.5.13.Trasp. cedidos'!E9</f>
        <v>-5808</v>
      </c>
      <c r="F9" s="514">
        <f>+'III.5.12.Trasp. recibidos'!F9-'III.5.13.Trasp. cedidos'!F9</f>
        <v>0</v>
      </c>
      <c r="G9" s="514">
        <f>+'III.5.12.Trasp. recibidos'!G9-'III.5.13.Trasp. cedidos'!G9</f>
        <v>-4380</v>
      </c>
      <c r="H9" s="514">
        <f>+'III.5.12.Trasp. recibidos'!H9-'III.5.13.Trasp. cedidos'!H9</f>
        <v>-56</v>
      </c>
      <c r="I9" s="514">
        <f>+'III.5.12.Trasp. recibidos'!I9-'III.5.13.Trasp. cedidos'!I9</f>
        <v>-9243</v>
      </c>
      <c r="J9" s="514">
        <f>+'III.5.12.Trasp. recibidos'!J9-'III.5.13.Trasp. cedidos'!J9</f>
        <v>-4163</v>
      </c>
      <c r="K9" s="519">
        <f t="shared" si="0"/>
        <v>-23650</v>
      </c>
      <c r="L9" s="514">
        <f>+'III.5.12.Trasp. recibidos'!L9-'III.5.13.Trasp. cedidos'!L9</f>
        <v>-7</v>
      </c>
      <c r="M9" s="514">
        <f>+'III.5.12.Trasp. recibidos'!M9-'III.5.13.Trasp. cedidos'!M9</f>
        <v>-64</v>
      </c>
      <c r="N9" s="514">
        <f>+'III.5.12.Trasp. recibidos'!N9-'III.5.13.Trasp. cedidos'!N9</f>
        <v>21139</v>
      </c>
      <c r="O9" s="514">
        <f>+'III.5.12.Trasp. recibidos'!O9-'III.5.13.Trasp. cedidos'!O9</f>
        <v>2582</v>
      </c>
      <c r="P9" s="519">
        <f t="shared" si="1"/>
        <v>23650</v>
      </c>
      <c r="R9" s="136"/>
      <c r="S9" s="94"/>
      <c r="T9" s="115"/>
    </row>
    <row r="10" spans="1:20" ht="15.75">
      <c r="A10" s="517">
        <v>2010</v>
      </c>
      <c r="B10" s="514">
        <f>+'III.5.12.Trasp. recibidos'!B10-'III.5.13.Trasp. cedidos'!B10</f>
        <v>0</v>
      </c>
      <c r="C10" s="514">
        <f>+'III.5.12.Trasp. recibidos'!C10-'III.5.13.Trasp. cedidos'!C10</f>
        <v>0</v>
      </c>
      <c r="D10" s="514">
        <f>+'III.5.12.Trasp. recibidos'!D10-'III.5.13.Trasp. cedidos'!D10</f>
        <v>0</v>
      </c>
      <c r="E10" s="514">
        <f>+'III.5.12.Trasp. recibidos'!E10-'III.5.13.Trasp. cedidos'!E10</f>
        <v>-1840</v>
      </c>
      <c r="F10" s="514">
        <f>+'III.5.12.Trasp. recibidos'!F10-'III.5.13.Trasp. cedidos'!F10</f>
        <v>0</v>
      </c>
      <c r="G10" s="514">
        <f>+'III.5.12.Trasp. recibidos'!G10-'III.5.13.Trasp. cedidos'!G10</f>
        <v>-1137</v>
      </c>
      <c r="H10" s="514">
        <f>+'III.5.12.Trasp. recibidos'!H10-'III.5.13.Trasp. cedidos'!H10</f>
        <v>-20</v>
      </c>
      <c r="I10" s="514">
        <f>+'III.5.12.Trasp. recibidos'!I10-'III.5.13.Trasp. cedidos'!I10</f>
        <v>-2753</v>
      </c>
      <c r="J10" s="514">
        <f>+'III.5.12.Trasp. recibidos'!J10-'III.5.13.Trasp. cedidos'!J10</f>
        <v>-1627</v>
      </c>
      <c r="K10" s="519">
        <f t="shared" si="0"/>
        <v>-7377</v>
      </c>
      <c r="L10" s="514">
        <f>+'III.5.12.Trasp. recibidos'!L10-'III.5.13.Trasp. cedidos'!L10</f>
        <v>-5</v>
      </c>
      <c r="M10" s="514">
        <f>+'III.5.12.Trasp. recibidos'!M10-'III.5.13.Trasp. cedidos'!M10</f>
        <v>-42</v>
      </c>
      <c r="N10" s="514">
        <f>+'III.5.12.Trasp. recibidos'!N10-'III.5.13.Trasp. cedidos'!N10</f>
        <v>3310</v>
      </c>
      <c r="O10" s="514">
        <f>+'III.5.12.Trasp. recibidos'!O10-'III.5.13.Trasp. cedidos'!O10</f>
        <v>4114</v>
      </c>
      <c r="P10" s="519">
        <f t="shared" si="1"/>
        <v>7377</v>
      </c>
      <c r="R10" s="136"/>
      <c r="S10" s="94"/>
      <c r="T10" s="115"/>
    </row>
    <row r="11" spans="1:20" ht="15.75">
      <c r="A11" s="517">
        <v>2011</v>
      </c>
      <c r="B11" s="514">
        <f>+'III.5.12.Trasp. recibidos'!B11-'III.5.13.Trasp. cedidos'!B11</f>
        <v>0</v>
      </c>
      <c r="C11" s="514">
        <f>+'III.5.12.Trasp. recibidos'!C11-'III.5.13.Trasp. cedidos'!C11</f>
        <v>0</v>
      </c>
      <c r="D11" s="514">
        <f>+'III.5.12.Trasp. recibidos'!D11-'III.5.13.Trasp. cedidos'!D11</f>
        <v>0</v>
      </c>
      <c r="E11" s="514">
        <f>+'III.5.12.Trasp. recibidos'!E11-'III.5.13.Trasp. cedidos'!E11</f>
        <v>-1031</v>
      </c>
      <c r="F11" s="514">
        <f>+'III.5.12.Trasp. recibidos'!F11-'III.5.13.Trasp. cedidos'!F11</f>
        <v>0</v>
      </c>
      <c r="G11" s="514">
        <f>+'III.5.12.Trasp. recibidos'!G11-'III.5.13.Trasp. cedidos'!G11</f>
        <v>2090</v>
      </c>
      <c r="H11" s="514">
        <f>+'III.5.12.Trasp. recibidos'!H11-'III.5.13.Trasp. cedidos'!H11</f>
        <v>-15</v>
      </c>
      <c r="I11" s="514">
        <f>+'III.5.12.Trasp. recibidos'!I11-'III.5.13.Trasp. cedidos'!I11</f>
        <v>-1867</v>
      </c>
      <c r="J11" s="514">
        <f>+'III.5.12.Trasp. recibidos'!J11-'III.5.13.Trasp. cedidos'!J11</f>
        <v>-1090</v>
      </c>
      <c r="K11" s="519">
        <f t="shared" si="0"/>
        <v>-1913</v>
      </c>
      <c r="L11" s="514">
        <f>+'III.5.12.Trasp. recibidos'!L11-'III.5.13.Trasp. cedidos'!L11</f>
        <v>-23</v>
      </c>
      <c r="M11" s="514">
        <f>+'III.5.12.Trasp. recibidos'!M11-'III.5.13.Trasp. cedidos'!M11</f>
        <v>-41</v>
      </c>
      <c r="N11" s="514">
        <f>+'III.5.12.Trasp. recibidos'!N11-'III.5.13.Trasp. cedidos'!N11</f>
        <v>1778</v>
      </c>
      <c r="O11" s="514">
        <f>+'III.5.12.Trasp. recibidos'!O11-'III.5.13.Trasp. cedidos'!O11</f>
        <v>199</v>
      </c>
      <c r="P11" s="519">
        <f t="shared" si="1"/>
        <v>1913</v>
      </c>
      <c r="R11" s="136"/>
      <c r="S11" s="94"/>
      <c r="T11" s="115"/>
    </row>
    <row r="12" spans="1:20" ht="15.75">
      <c r="A12" s="517" t="s">
        <v>485</v>
      </c>
      <c r="B12" s="514">
        <f>+'III.5.12.Trasp. recibidos'!B12-'III.5.13.Trasp. cedidos'!B12</f>
        <v>0</v>
      </c>
      <c r="C12" s="514">
        <f>+'III.5.12.Trasp. recibidos'!C12-'III.5.13.Trasp. cedidos'!C12</f>
        <v>0</v>
      </c>
      <c r="D12" s="514">
        <f>+'III.5.12.Trasp. recibidos'!D12-'III.5.13.Trasp. cedidos'!D12</f>
        <v>0</v>
      </c>
      <c r="E12" s="514">
        <f>+'III.5.12.Trasp. recibidos'!E12-'III.5.13.Trasp. cedidos'!E12</f>
        <v>-1617</v>
      </c>
      <c r="F12" s="514">
        <f>+'III.5.12.Trasp. recibidos'!F12-'III.5.13.Trasp. cedidos'!F12</f>
        <v>0</v>
      </c>
      <c r="G12" s="514">
        <f>+'III.5.12.Trasp. recibidos'!G12-'III.5.13.Trasp. cedidos'!G12</f>
        <v>1986</v>
      </c>
      <c r="H12" s="514">
        <f>+'III.5.12.Trasp. recibidos'!H12-'III.5.13.Trasp. cedidos'!H12</f>
        <v>-28</v>
      </c>
      <c r="I12" s="514">
        <f>+'III.5.12.Trasp. recibidos'!I12-'III.5.13.Trasp. cedidos'!I12</f>
        <v>-2359</v>
      </c>
      <c r="J12" s="514">
        <f>+'III.5.12.Trasp. recibidos'!J12-'III.5.13.Trasp. cedidos'!J12</f>
        <v>-1438</v>
      </c>
      <c r="K12" s="519">
        <f t="shared" si="0"/>
        <v>-3456</v>
      </c>
      <c r="L12" s="514">
        <f>+'III.5.12.Trasp. recibidos'!L12-'III.5.13.Trasp. cedidos'!L12</f>
        <v>-3</v>
      </c>
      <c r="M12" s="514">
        <f>+'III.5.12.Trasp. recibidos'!M12-'III.5.13.Trasp. cedidos'!M12</f>
        <v>497</v>
      </c>
      <c r="N12" s="514">
        <f>+'III.5.12.Trasp. recibidos'!N12-'III.5.13.Trasp. cedidos'!N12</f>
        <v>2945</v>
      </c>
      <c r="O12" s="514">
        <f>+'III.5.12.Trasp. recibidos'!O12-'III.5.13.Trasp. cedidos'!O12</f>
        <v>17</v>
      </c>
      <c r="P12" s="519">
        <f t="shared" si="1"/>
        <v>3456</v>
      </c>
      <c r="R12" s="136"/>
      <c r="S12" s="94"/>
      <c r="T12" s="115"/>
    </row>
    <row r="13" spans="1:20" ht="15.75">
      <c r="A13" s="517" t="s">
        <v>573</v>
      </c>
      <c r="B13" s="514">
        <f>+'III.5.12.Trasp. recibidos'!B13-'III.5.13.Trasp. cedidos'!B13</f>
        <v>0</v>
      </c>
      <c r="C13" s="514">
        <f>+'III.5.12.Trasp. recibidos'!C13-'III.5.13.Trasp. cedidos'!C13</f>
        <v>0</v>
      </c>
      <c r="D13" s="514">
        <f>+'III.5.12.Trasp. recibidos'!D13-'III.5.13.Trasp. cedidos'!D13</f>
        <v>0</v>
      </c>
      <c r="E13" s="514">
        <f>+'III.5.12.Trasp. recibidos'!E13-'III.5.13.Trasp. cedidos'!E13</f>
        <v>-2160</v>
      </c>
      <c r="F13" s="514">
        <f>+'III.5.12.Trasp. recibidos'!F13-'III.5.13.Trasp. cedidos'!F13</f>
        <v>0</v>
      </c>
      <c r="G13" s="514">
        <f>+'III.5.12.Trasp. recibidos'!G13-'III.5.13.Trasp. cedidos'!G13</f>
        <v>4515</v>
      </c>
      <c r="H13" s="514">
        <f>+'III.5.12.Trasp. recibidos'!H13-'III.5.13.Trasp. cedidos'!H13</f>
        <v>-26</v>
      </c>
      <c r="I13" s="514">
        <f>+'III.5.12.Trasp. recibidos'!I13-'III.5.13.Trasp. cedidos'!I13</f>
        <v>-3839</v>
      </c>
      <c r="J13" s="514">
        <f>+'III.5.12.Trasp. recibidos'!J13-'III.5.13.Trasp. cedidos'!J13</f>
        <v>-2232</v>
      </c>
      <c r="K13" s="519">
        <f t="shared" si="0"/>
        <v>-3742</v>
      </c>
      <c r="L13" s="514">
        <f>+'III.5.12.Trasp. recibidos'!L13-'III.5.13.Trasp. cedidos'!L13</f>
        <v>-7</v>
      </c>
      <c r="M13" s="514">
        <f>+'III.5.12.Trasp. recibidos'!M13-'III.5.13.Trasp. cedidos'!M13</f>
        <v>-32</v>
      </c>
      <c r="N13" s="514">
        <f>+'III.5.12.Trasp. recibidos'!N13-'III.5.13.Trasp. cedidos'!N13</f>
        <v>2249</v>
      </c>
      <c r="O13" s="514">
        <f>+'III.5.12.Trasp. recibidos'!O13-'III.5.13.Trasp. cedidos'!O13</f>
        <v>1532</v>
      </c>
      <c r="P13" s="519">
        <f t="shared" si="1"/>
        <v>3742</v>
      </c>
      <c r="R13" s="136"/>
      <c r="S13" s="94"/>
      <c r="T13" s="115"/>
    </row>
    <row r="14" spans="1:20" ht="15.75">
      <c r="A14" s="517" t="str">
        <f>+'[3]V.3.3 Trasp. cedidos'!A15</f>
        <v>2014</v>
      </c>
      <c r="B14" s="514">
        <f>+'III.5.12.Trasp. recibidos'!B14-'III.5.13.Trasp. cedidos'!B14</f>
        <v>0</v>
      </c>
      <c r="C14" s="514">
        <f>+'III.5.12.Trasp. recibidos'!C14-'III.5.13.Trasp. cedidos'!C14</f>
        <v>0</v>
      </c>
      <c r="D14" s="514">
        <f>+'III.5.12.Trasp. recibidos'!D14-'III.5.13.Trasp. cedidos'!D14</f>
        <v>0</v>
      </c>
      <c r="E14" s="514">
        <f>+'III.5.12.Trasp. recibidos'!E14-'III.5.13.Trasp. cedidos'!E14</f>
        <v>-5285</v>
      </c>
      <c r="F14" s="514">
        <f>+'III.5.12.Trasp. recibidos'!F14-'III.5.13.Trasp. cedidos'!F14</f>
        <v>0</v>
      </c>
      <c r="G14" s="514">
        <f>+'III.5.12.Trasp. recibidos'!G14-'III.5.13.Trasp. cedidos'!G14</f>
        <v>7338</v>
      </c>
      <c r="H14" s="514">
        <f>+'III.5.12.Trasp. recibidos'!H14-'III.5.13.Trasp. cedidos'!H14</f>
        <v>661</v>
      </c>
      <c r="I14" s="514">
        <f>+'III.5.12.Trasp. recibidos'!I14-'III.5.13.Trasp. cedidos'!I14</f>
        <v>-6830</v>
      </c>
      <c r="J14" s="514">
        <f>+'III.5.12.Trasp. recibidos'!J14-'III.5.13.Trasp. cedidos'!J14</f>
        <v>-3337</v>
      </c>
      <c r="K14" s="519">
        <f>SUM(B14:J14)</f>
        <v>-7453</v>
      </c>
      <c r="L14" s="514">
        <f>+'III.5.12.Trasp. recibidos'!L14-'III.5.13.Trasp. cedidos'!L14</f>
        <v>-5</v>
      </c>
      <c r="M14" s="514">
        <f>+'III.5.12.Trasp. recibidos'!M14-'III.5.13.Trasp. cedidos'!M14</f>
        <v>-32</v>
      </c>
      <c r="N14" s="514">
        <f>+'III.5.12.Trasp. recibidos'!N14-'III.5.13.Trasp. cedidos'!N14</f>
        <v>7035</v>
      </c>
      <c r="O14" s="514">
        <f>+'III.5.12.Trasp. recibidos'!O14-'III.5.13.Trasp. cedidos'!O14</f>
        <v>455</v>
      </c>
      <c r="P14" s="519">
        <f t="shared" si="1"/>
        <v>7453</v>
      </c>
      <c r="R14" s="136"/>
      <c r="S14" s="94"/>
      <c r="T14" s="115"/>
    </row>
    <row r="15" spans="1:20" ht="15.75">
      <c r="A15" s="517" t="s">
        <v>949</v>
      </c>
      <c r="B15" s="514">
        <f>+'III.5.12.Trasp. recibidos'!B15-'III.5.13.Trasp. cedidos'!B15</f>
        <v>0</v>
      </c>
      <c r="C15" s="514">
        <f>+'III.5.12.Trasp. recibidos'!C15-'III.5.13.Trasp. cedidos'!C15</f>
        <v>0</v>
      </c>
      <c r="D15" s="514">
        <f>+'III.5.12.Trasp. recibidos'!D15-'III.5.13.Trasp. cedidos'!D15</f>
        <v>0</v>
      </c>
      <c r="E15" s="514">
        <f>+'III.5.12.Trasp. recibidos'!E15-'III.5.13.Trasp. cedidos'!E15</f>
        <v>-2314</v>
      </c>
      <c r="F15" s="514">
        <f>+'III.5.12.Trasp. recibidos'!F15-'III.5.13.Trasp. cedidos'!F15</f>
        <v>0</v>
      </c>
      <c r="G15" s="514">
        <f>+'III.5.12.Trasp. recibidos'!G15-'III.5.13.Trasp. cedidos'!G15</f>
        <v>5012</v>
      </c>
      <c r="H15" s="514">
        <f>+'III.5.12.Trasp. recibidos'!H15-'III.5.13.Trasp. cedidos'!H15</f>
        <v>432</v>
      </c>
      <c r="I15" s="514">
        <f>+'III.5.12.Trasp. recibidos'!I15-'III.5.13.Trasp. cedidos'!I15</f>
        <v>-3433</v>
      </c>
      <c r="J15" s="514">
        <f>+'III.5.12.Trasp. recibidos'!J15-'III.5.13.Trasp. cedidos'!J15</f>
        <v>-1065</v>
      </c>
      <c r="K15" s="519">
        <f>SUM(B15:J15)</f>
        <v>-1368</v>
      </c>
      <c r="L15" s="514">
        <f>+'III.5.12.Trasp. recibidos'!L15-'III.5.13.Trasp. cedidos'!L15</f>
        <v>-2</v>
      </c>
      <c r="M15" s="514">
        <f>+'III.5.12.Trasp. recibidos'!M15-'III.5.13.Trasp. cedidos'!M15</f>
        <v>-2</v>
      </c>
      <c r="N15" s="514">
        <f>+'III.5.12.Trasp. recibidos'!N15-'III.5.13.Trasp. cedidos'!N15</f>
        <v>1276</v>
      </c>
      <c r="O15" s="514">
        <f>+'III.5.12.Trasp. recibidos'!O15-'III.5.13.Trasp. cedidos'!O15</f>
        <v>96</v>
      </c>
      <c r="P15" s="519">
        <f t="shared" si="1"/>
        <v>1368</v>
      </c>
      <c r="R15" s="136"/>
      <c r="S15" s="94"/>
      <c r="T15" s="115"/>
    </row>
    <row r="16" spans="1:20" s="141" customFormat="1" ht="20.25" customHeight="1">
      <c r="A16" s="512" t="s">
        <v>23</v>
      </c>
      <c r="B16" s="520">
        <f>SUM(B5:B15)</f>
        <v>0</v>
      </c>
      <c r="C16" s="518">
        <f>SUM(C5:C15)</f>
        <v>-478</v>
      </c>
      <c r="D16" s="518">
        <f t="shared" ref="D16:J16" si="2">SUM(D5:D15)</f>
        <v>648</v>
      </c>
      <c r="E16" s="518">
        <f t="shared" si="2"/>
        <v>-20223</v>
      </c>
      <c r="F16" s="518">
        <f t="shared" si="2"/>
        <v>0</v>
      </c>
      <c r="G16" s="518">
        <f t="shared" si="2"/>
        <v>17427</v>
      </c>
      <c r="H16" s="518">
        <f t="shared" si="2"/>
        <v>941</v>
      </c>
      <c r="I16" s="518">
        <f t="shared" si="2"/>
        <v>-31017</v>
      </c>
      <c r="J16" s="518">
        <f t="shared" si="2"/>
        <v>-15131</v>
      </c>
      <c r="K16" s="1142">
        <f t="shared" ref="K16:P16" si="3">SUM(K5:K15)</f>
        <v>-47833</v>
      </c>
      <c r="L16" s="518">
        <f t="shared" si="3"/>
        <v>-343</v>
      </c>
      <c r="M16" s="518">
        <f t="shared" si="3"/>
        <v>-571</v>
      </c>
      <c r="N16" s="518">
        <f t="shared" si="3"/>
        <v>39732</v>
      </c>
      <c r="O16" s="518">
        <f t="shared" si="3"/>
        <v>9015</v>
      </c>
      <c r="P16" s="1142">
        <f t="shared" si="3"/>
        <v>47833</v>
      </c>
      <c r="R16" s="489"/>
      <c r="S16" s="490"/>
      <c r="T16" s="491"/>
    </row>
    <row r="17" spans="1:20">
      <c r="A17" s="96"/>
      <c r="B17" s="96"/>
      <c r="C17" s="96"/>
      <c r="D17" s="96"/>
      <c r="E17" s="96"/>
      <c r="F17" s="96"/>
      <c r="G17" s="77">
        <f>638+341</f>
        <v>979</v>
      </c>
      <c r="H17" s="96">
        <f>59+65</f>
        <v>124</v>
      </c>
      <c r="I17" s="96">
        <f>-550-711</f>
        <v>-1261</v>
      </c>
      <c r="J17" s="96">
        <f>-94-20</f>
        <v>-114</v>
      </c>
      <c r="K17" s="96"/>
      <c r="L17" s="96">
        <v>-1</v>
      </c>
      <c r="M17" s="96">
        <v>7</v>
      </c>
      <c r="N17" s="96">
        <f>568+112</f>
        <v>680</v>
      </c>
      <c r="O17" s="96">
        <f>37-5</f>
        <v>32</v>
      </c>
      <c r="P17" s="96"/>
      <c r="Q17" s="96"/>
      <c r="R17" s="96"/>
      <c r="T17" s="117"/>
    </row>
    <row r="18" spans="1:20">
      <c r="A18" s="96"/>
      <c r="B18" s="96"/>
      <c r="C18" s="96"/>
      <c r="D18" s="96"/>
      <c r="E18" s="96"/>
      <c r="F18" s="96"/>
      <c r="G18" s="96"/>
      <c r="H18" s="96"/>
      <c r="I18" s="96"/>
      <c r="J18" s="96"/>
      <c r="K18" s="96"/>
      <c r="L18" s="96"/>
      <c r="M18" s="96"/>
      <c r="N18" s="96"/>
      <c r="O18" s="96"/>
      <c r="P18" s="96"/>
      <c r="Q18" s="96"/>
      <c r="R18" s="96"/>
      <c r="T18" s="117"/>
    </row>
    <row r="19" spans="1:20">
      <c r="A19" s="96"/>
      <c r="B19" s="96"/>
      <c r="C19" s="96"/>
      <c r="D19" s="96"/>
      <c r="E19" s="96"/>
      <c r="F19" s="96"/>
      <c r="G19" s="96"/>
      <c r="H19" s="96"/>
      <c r="I19" s="96"/>
      <c r="J19" s="96"/>
      <c r="K19" s="96"/>
      <c r="L19" s="96"/>
      <c r="M19" s="96"/>
      <c r="N19" s="96"/>
      <c r="O19" s="96"/>
      <c r="P19" s="96"/>
      <c r="Q19" s="96"/>
      <c r="R19" s="96"/>
      <c r="T19" s="117"/>
    </row>
    <row r="20" spans="1:20">
      <c r="A20" s="96"/>
      <c r="B20" s="96"/>
      <c r="C20" s="96"/>
      <c r="D20" s="96"/>
      <c r="E20" s="96"/>
      <c r="F20" s="96"/>
      <c r="G20" s="96"/>
      <c r="H20" s="96"/>
      <c r="I20" s="96"/>
      <c r="J20" s="96"/>
      <c r="K20" s="96"/>
      <c r="L20" s="96"/>
      <c r="M20" s="96"/>
      <c r="N20" s="96"/>
      <c r="O20" s="96"/>
      <c r="P20" s="96"/>
      <c r="Q20" s="96"/>
      <c r="R20" s="96"/>
      <c r="T20" s="117"/>
    </row>
    <row r="21" spans="1:20">
      <c r="A21" s="96"/>
      <c r="B21" s="96"/>
      <c r="C21" s="96"/>
      <c r="D21" s="96"/>
      <c r="E21" s="96"/>
      <c r="F21" s="96"/>
      <c r="G21" s="96"/>
      <c r="H21" s="96"/>
      <c r="I21" s="96"/>
      <c r="J21" s="96"/>
      <c r="K21" s="96"/>
      <c r="L21" s="96"/>
      <c r="M21" s="96"/>
      <c r="N21" s="96"/>
      <c r="O21" s="96"/>
      <c r="P21" s="96"/>
      <c r="Q21" s="96"/>
      <c r="R21" s="96"/>
      <c r="T21" s="117"/>
    </row>
    <row r="22" spans="1:20">
      <c r="A22" s="96"/>
      <c r="B22" s="96"/>
      <c r="C22" s="96"/>
      <c r="D22" s="96"/>
      <c r="E22" s="96"/>
      <c r="F22" s="96"/>
      <c r="G22" s="96"/>
      <c r="H22" s="96"/>
      <c r="I22" s="96"/>
      <c r="J22" s="96"/>
      <c r="K22" s="96"/>
      <c r="L22" s="96"/>
      <c r="M22" s="96"/>
      <c r="N22" s="96"/>
      <c r="O22" s="96"/>
      <c r="P22" s="96"/>
      <c r="Q22" s="96"/>
      <c r="R22" s="96"/>
    </row>
    <row r="23" spans="1:20">
      <c r="A23" s="96"/>
      <c r="B23" s="96"/>
      <c r="C23" s="96"/>
      <c r="D23" s="96"/>
      <c r="E23" s="96"/>
      <c r="F23" s="96"/>
      <c r="G23" s="96"/>
      <c r="H23" s="96"/>
      <c r="I23" s="96"/>
      <c r="J23" s="96"/>
      <c r="K23" s="96"/>
      <c r="L23" s="96"/>
      <c r="M23" s="96"/>
      <c r="N23" s="96"/>
      <c r="O23" s="96"/>
      <c r="P23" s="96"/>
      <c r="Q23" s="96"/>
      <c r="R23" s="96"/>
    </row>
    <row r="24" spans="1:20">
      <c r="A24" s="96"/>
      <c r="B24" s="96"/>
      <c r="C24" s="96"/>
      <c r="D24" s="96"/>
      <c r="E24" s="96"/>
      <c r="F24" s="96"/>
      <c r="G24" s="96"/>
      <c r="H24" s="96"/>
      <c r="I24" s="96"/>
      <c r="J24" s="96"/>
      <c r="K24" s="96"/>
      <c r="L24" s="96"/>
      <c r="M24" s="96"/>
      <c r="N24" s="96"/>
      <c r="O24" s="96"/>
      <c r="P24" s="96"/>
      <c r="Q24" s="96"/>
      <c r="R24" s="96"/>
    </row>
    <row r="25" spans="1:20">
      <c r="A25" s="96"/>
      <c r="B25" s="96"/>
      <c r="C25" s="96"/>
      <c r="D25" s="96"/>
      <c r="E25" s="96"/>
      <c r="F25" s="96"/>
      <c r="G25" s="96"/>
      <c r="H25" s="96"/>
      <c r="I25" s="96"/>
      <c r="J25" s="96"/>
      <c r="K25" s="96"/>
      <c r="L25" s="96"/>
      <c r="M25" s="96"/>
      <c r="N25" s="96"/>
      <c r="O25" s="96"/>
      <c r="P25" s="96"/>
      <c r="Q25" s="96"/>
      <c r="R25" s="96"/>
    </row>
    <row r="26" spans="1:20">
      <c r="A26" s="96"/>
      <c r="B26" s="96"/>
      <c r="C26" s="96"/>
      <c r="D26" s="96"/>
      <c r="E26" s="96"/>
      <c r="F26" s="96"/>
      <c r="G26" s="96"/>
      <c r="H26" s="96"/>
      <c r="I26" s="96"/>
      <c r="J26" s="96"/>
      <c r="K26" s="96"/>
      <c r="L26" s="96"/>
      <c r="M26" s="96"/>
      <c r="N26" s="96"/>
      <c r="O26" s="96"/>
      <c r="P26" s="96"/>
      <c r="Q26" s="96"/>
      <c r="R26" s="96"/>
    </row>
    <row r="27" spans="1:20">
      <c r="A27" s="96"/>
      <c r="B27" s="96"/>
      <c r="C27" s="96"/>
      <c r="D27" s="96"/>
      <c r="E27" s="96"/>
      <c r="F27" s="96"/>
      <c r="G27" s="96"/>
      <c r="H27" s="96"/>
      <c r="I27" s="96"/>
      <c r="J27" s="96"/>
      <c r="K27" s="96"/>
      <c r="L27" s="96"/>
      <c r="M27" s="96"/>
      <c r="N27" s="96"/>
      <c r="O27" s="96"/>
      <c r="P27" s="96"/>
      <c r="Q27" s="96"/>
      <c r="R27" s="96"/>
      <c r="T27" s="117"/>
    </row>
    <row r="28" spans="1:20">
      <c r="A28" s="96"/>
      <c r="B28" s="96"/>
      <c r="C28" s="96"/>
      <c r="D28" s="96"/>
      <c r="E28" s="96"/>
      <c r="F28" s="96"/>
      <c r="G28" s="96"/>
      <c r="H28" s="96"/>
      <c r="I28" s="96"/>
      <c r="J28" s="96"/>
      <c r="K28" s="96"/>
      <c r="L28" s="96"/>
      <c r="M28" s="96"/>
      <c r="N28" s="96"/>
      <c r="O28" s="96"/>
      <c r="P28" s="96"/>
      <c r="Q28" s="96"/>
      <c r="R28" s="96"/>
      <c r="T28" s="117"/>
    </row>
    <row r="29" spans="1:20">
      <c r="A29" s="96"/>
      <c r="B29" s="96"/>
      <c r="C29" s="96"/>
      <c r="D29" s="96"/>
      <c r="E29" s="96"/>
      <c r="F29" s="96"/>
      <c r="G29" s="96"/>
      <c r="H29" s="96"/>
      <c r="I29" s="96"/>
      <c r="J29" s="96"/>
      <c r="K29" s="96"/>
      <c r="L29" s="96"/>
      <c r="M29" s="96"/>
      <c r="N29" s="96"/>
      <c r="O29" s="96"/>
      <c r="P29" s="96"/>
      <c r="Q29" s="96"/>
      <c r="R29" s="96"/>
      <c r="T29" s="117"/>
    </row>
    <row r="30" spans="1:20">
      <c r="A30" s="96"/>
      <c r="B30" s="96"/>
      <c r="C30" s="96"/>
      <c r="D30" s="96"/>
      <c r="E30" s="96"/>
      <c r="F30" s="96"/>
      <c r="G30" s="96"/>
      <c r="H30" s="96"/>
      <c r="I30" s="96"/>
      <c r="J30" s="96"/>
      <c r="K30" s="96"/>
      <c r="L30" s="96"/>
      <c r="M30" s="96"/>
      <c r="N30" s="96"/>
      <c r="O30" s="96"/>
      <c r="P30" s="96"/>
      <c r="Q30" s="96"/>
      <c r="R30" s="96"/>
      <c r="T30" s="117"/>
    </row>
    <row r="31" spans="1:20">
      <c r="A31" s="96"/>
      <c r="B31" s="96"/>
      <c r="C31" s="96"/>
      <c r="D31" s="96"/>
      <c r="E31" s="96"/>
      <c r="F31" s="96"/>
      <c r="G31" s="96"/>
      <c r="H31" s="96"/>
      <c r="I31" s="96"/>
      <c r="J31" s="96"/>
      <c r="K31" s="96"/>
      <c r="L31" s="96"/>
      <c r="M31" s="96"/>
      <c r="N31" s="96"/>
      <c r="O31" s="96"/>
      <c r="P31" s="96"/>
      <c r="Q31" s="96"/>
      <c r="R31" s="96"/>
      <c r="T31" s="117"/>
    </row>
    <row r="32" spans="1:20">
      <c r="A32" s="96"/>
      <c r="B32" s="96"/>
      <c r="C32" s="96"/>
      <c r="D32" s="96"/>
      <c r="E32" s="96"/>
      <c r="F32" s="96"/>
      <c r="G32" s="96"/>
      <c r="H32" s="96"/>
      <c r="I32" s="96"/>
      <c r="J32" s="96"/>
      <c r="K32" s="96"/>
      <c r="L32" s="96"/>
      <c r="M32" s="96"/>
      <c r="N32" s="96"/>
      <c r="O32" s="96"/>
      <c r="P32" s="96"/>
      <c r="Q32" s="96"/>
      <c r="R32" s="96"/>
    </row>
    <row r="33" spans="1:18">
      <c r="A33" s="96"/>
      <c r="B33" s="96"/>
      <c r="C33" s="96"/>
      <c r="D33" s="96"/>
      <c r="E33" s="96"/>
      <c r="F33" s="96"/>
      <c r="G33" s="96"/>
      <c r="H33" s="96"/>
      <c r="I33" s="96"/>
      <c r="J33" s="96"/>
      <c r="K33" s="96"/>
      <c r="L33" s="96"/>
      <c r="M33" s="96"/>
      <c r="N33" s="96"/>
      <c r="O33" s="96"/>
      <c r="P33" s="96"/>
      <c r="Q33" s="96"/>
      <c r="R33" s="96"/>
    </row>
    <row r="34" spans="1:18">
      <c r="A34" s="96"/>
      <c r="B34" s="96"/>
      <c r="C34" s="96"/>
      <c r="D34" s="96"/>
      <c r="E34" s="96"/>
      <c r="F34" s="96"/>
      <c r="G34" s="96"/>
      <c r="H34" s="96"/>
      <c r="I34" s="96"/>
      <c r="J34" s="96"/>
      <c r="K34" s="96"/>
      <c r="L34" s="96"/>
      <c r="M34" s="96"/>
      <c r="N34" s="96"/>
      <c r="O34" s="96"/>
      <c r="P34" s="96"/>
      <c r="Q34" s="96"/>
      <c r="R34" s="96"/>
    </row>
    <row r="35" spans="1:18">
      <c r="A35" s="96"/>
      <c r="B35" s="96"/>
      <c r="C35" s="96"/>
      <c r="D35" s="28"/>
      <c r="E35" s="96"/>
      <c r="F35" s="96"/>
      <c r="G35" s="96"/>
      <c r="H35" s="96"/>
      <c r="I35" s="96"/>
      <c r="J35" s="96"/>
      <c r="K35" s="96"/>
      <c r="L35" s="96"/>
      <c r="M35" s="96"/>
      <c r="N35" s="96"/>
      <c r="O35" s="96"/>
      <c r="P35" s="96"/>
      <c r="Q35" s="96"/>
      <c r="R35" s="96"/>
    </row>
    <row r="36" spans="1:18">
      <c r="A36" s="96"/>
      <c r="B36" s="96"/>
      <c r="C36" s="96"/>
      <c r="D36" s="96"/>
      <c r="E36" s="96"/>
      <c r="F36" s="96"/>
      <c r="G36" s="96"/>
      <c r="H36" s="96"/>
      <c r="I36" s="96"/>
      <c r="J36" s="96"/>
      <c r="K36" s="96"/>
      <c r="L36" s="96"/>
      <c r="M36" s="96"/>
      <c r="N36" s="96"/>
      <c r="O36" s="96"/>
      <c r="P36" s="96"/>
      <c r="Q36" s="96"/>
      <c r="R36" s="96"/>
    </row>
    <row r="37" spans="1:18">
      <c r="A37" s="96"/>
      <c r="B37" s="96"/>
      <c r="C37" s="96"/>
      <c r="D37" s="96"/>
      <c r="E37" s="96"/>
      <c r="F37" s="96"/>
      <c r="G37" s="96"/>
      <c r="H37" s="96"/>
      <c r="I37" s="96"/>
      <c r="J37" s="96"/>
      <c r="K37" s="96"/>
      <c r="L37" s="96"/>
      <c r="M37" s="96"/>
      <c r="N37" s="96"/>
      <c r="O37" s="96"/>
      <c r="P37" s="96"/>
      <c r="Q37" s="96"/>
      <c r="R37" s="96"/>
    </row>
    <row r="38" spans="1:18">
      <c r="A38" s="96"/>
      <c r="B38" s="96"/>
      <c r="C38" s="96"/>
      <c r="D38" s="96"/>
      <c r="E38" s="96"/>
      <c r="F38" s="96"/>
      <c r="G38" s="96"/>
      <c r="H38" s="96"/>
      <c r="I38" s="96"/>
      <c r="J38" s="96"/>
      <c r="K38" s="96"/>
      <c r="L38" s="96"/>
      <c r="M38" s="96"/>
      <c r="N38" s="96"/>
      <c r="O38" s="96"/>
      <c r="P38" s="96"/>
      <c r="Q38" s="96"/>
      <c r="R38" s="96"/>
    </row>
    <row r="39" spans="1:18">
      <c r="A39" s="96"/>
      <c r="B39" s="96"/>
      <c r="C39" s="96"/>
      <c r="D39" s="96"/>
      <c r="E39" s="96"/>
      <c r="F39" s="96"/>
      <c r="G39" s="96"/>
      <c r="H39" s="96"/>
      <c r="I39" s="96"/>
      <c r="J39" s="96"/>
      <c r="K39" s="96"/>
      <c r="L39" s="96"/>
      <c r="M39" s="96"/>
      <c r="N39" s="96"/>
      <c r="O39" s="96"/>
      <c r="P39" s="96"/>
      <c r="Q39" s="96"/>
      <c r="R39" s="96"/>
    </row>
    <row r="40" spans="1:18">
      <c r="A40" s="96"/>
      <c r="B40" s="96"/>
      <c r="C40" s="96"/>
      <c r="D40" s="96"/>
      <c r="E40" s="96"/>
      <c r="F40" s="96"/>
      <c r="G40" s="96"/>
      <c r="H40" s="96"/>
      <c r="I40" s="96"/>
      <c r="J40" s="96"/>
      <c r="K40" s="96"/>
      <c r="L40" s="96"/>
      <c r="M40" s="96"/>
      <c r="N40" s="96"/>
      <c r="O40" s="96"/>
      <c r="P40" s="96"/>
      <c r="Q40" s="96"/>
      <c r="R40" s="96"/>
    </row>
    <row r="41" spans="1:18">
      <c r="A41" s="96"/>
      <c r="B41" s="96"/>
      <c r="C41" s="96"/>
      <c r="D41" s="96"/>
      <c r="E41" s="96"/>
      <c r="F41" s="96"/>
      <c r="G41" s="96"/>
      <c r="H41" s="96"/>
      <c r="I41" s="96"/>
      <c r="J41" s="96"/>
      <c r="K41" s="96"/>
      <c r="L41" s="96"/>
      <c r="M41" s="96"/>
      <c r="N41" s="96"/>
      <c r="O41" s="96"/>
      <c r="P41" s="96"/>
      <c r="Q41" s="96"/>
      <c r="R41" s="96"/>
    </row>
    <row r="42" spans="1:18">
      <c r="A42" s="96"/>
      <c r="B42" s="96"/>
      <c r="C42" s="96"/>
      <c r="D42" s="96"/>
      <c r="E42" s="96"/>
      <c r="F42" s="96"/>
      <c r="G42" s="96"/>
      <c r="H42" s="96"/>
      <c r="I42" s="96"/>
      <c r="J42" s="96"/>
      <c r="K42" s="96"/>
      <c r="L42" s="96"/>
      <c r="M42" s="96"/>
      <c r="N42" s="96"/>
      <c r="O42" s="96"/>
      <c r="P42" s="96"/>
    </row>
    <row r="86" spans="1:16" s="39" customFormat="1">
      <c r="A86" s="77"/>
      <c r="B86" s="77"/>
      <c r="C86" s="77"/>
      <c r="D86" s="77"/>
      <c r="E86" s="77"/>
      <c r="F86" s="77"/>
      <c r="G86" s="77"/>
      <c r="H86" s="77"/>
      <c r="I86" s="77"/>
      <c r="J86" s="77"/>
      <c r="K86" s="77"/>
      <c r="L86" s="77"/>
      <c r="M86" s="77"/>
      <c r="N86" s="77"/>
      <c r="O86" s="77"/>
      <c r="P86" s="77"/>
    </row>
    <row r="87" spans="1:16" s="39" customFormat="1"/>
    <row r="88" spans="1:16" s="39" customFormat="1"/>
    <row r="89" spans="1:16" s="39" customFormat="1"/>
    <row r="90" spans="1:16" s="39" customFormat="1"/>
    <row r="91" spans="1:16" s="39" customFormat="1"/>
    <row r="92" spans="1:16" s="39" customFormat="1"/>
    <row r="93" spans="1:16" s="39" customFormat="1"/>
    <row r="94" spans="1:16" s="39" customFormat="1"/>
    <row r="95" spans="1:16" s="39" customFormat="1"/>
    <row r="96" spans="1:16"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6" s="39" customFormat="1"/>
    <row r="114" spans="1:16" s="39" customFormat="1"/>
    <row r="115" spans="1:16" s="39" customFormat="1"/>
    <row r="116" spans="1:16" s="39" customFormat="1"/>
    <row r="117" spans="1:16" s="39" customFormat="1"/>
    <row r="118" spans="1:16" s="39" customFormat="1"/>
    <row r="119" spans="1:16">
      <c r="A119" s="39"/>
      <c r="B119" s="39"/>
      <c r="C119" s="39"/>
      <c r="D119" s="39"/>
      <c r="E119" s="39"/>
      <c r="F119" s="39"/>
      <c r="G119" s="39"/>
      <c r="H119" s="39"/>
      <c r="I119" s="39"/>
      <c r="J119" s="39"/>
      <c r="K119" s="39"/>
      <c r="L119" s="39"/>
      <c r="M119" s="39"/>
      <c r="N119" s="39"/>
      <c r="O119" s="39"/>
      <c r="P119" s="39"/>
    </row>
  </sheetData>
  <mergeCells count="3">
    <mergeCell ref="A1:S1"/>
    <mergeCell ref="A2:S2"/>
    <mergeCell ref="A3:P3"/>
  </mergeCells>
  <printOptions horizontalCentered="1" verticalCentered="1"/>
  <pageMargins left="0.4" right="0.4" top="0.25" bottom="0.25" header="0.31496062992126" footer="0.31496062992126"/>
  <pageSetup scale="52" orientation="landscape" r:id="rId1"/>
  <rowBreaks count="1" manualBreakCount="1">
    <brk id="15"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M106"/>
  <sheetViews>
    <sheetView showGridLines="0" view="pageBreakPreview" zoomScale="70" zoomScaleNormal="70" zoomScaleSheetLayoutView="70" workbookViewId="0">
      <selection activeCell="L36" sqref="L36"/>
    </sheetView>
  </sheetViews>
  <sheetFormatPr baseColWidth="10" defaultColWidth="11.42578125" defaultRowHeight="15"/>
  <cols>
    <col min="1" max="1" width="28.7109375" style="77" customWidth="1"/>
    <col min="2" max="2" width="16.7109375" style="77" customWidth="1"/>
    <col min="3" max="3" width="15.28515625" style="77" customWidth="1"/>
    <col min="4" max="4" width="17.85546875" style="77" customWidth="1"/>
    <col min="5" max="5" width="18.7109375" style="77" customWidth="1"/>
    <col min="6" max="6" width="16" style="77" customWidth="1"/>
    <col min="7" max="7" width="18" style="77" customWidth="1"/>
    <col min="8" max="8" width="15.85546875" style="77" customWidth="1"/>
    <col min="9" max="9" width="16.5703125" style="77" customWidth="1"/>
    <col min="10" max="10" width="16.140625" style="77" customWidth="1"/>
    <col min="11" max="11" width="17.140625" style="77" customWidth="1"/>
    <col min="12" max="16384" width="11.42578125" style="77"/>
  </cols>
  <sheetData>
    <row r="1" spans="1:11" ht="73.5" customHeight="1">
      <c r="A1" s="1908" t="s">
        <v>925</v>
      </c>
      <c r="B1" s="1908"/>
      <c r="C1" s="1908"/>
      <c r="D1" s="1908"/>
      <c r="E1" s="1908"/>
      <c r="F1" s="1908"/>
      <c r="G1" s="1908"/>
      <c r="H1" s="1908"/>
      <c r="I1" s="1908"/>
      <c r="J1" s="1908"/>
      <c r="K1" s="1908"/>
    </row>
    <row r="2" spans="1:11" ht="3.75" customHeight="1">
      <c r="A2" s="96"/>
      <c r="B2" s="96"/>
      <c r="C2" s="96"/>
      <c r="D2" s="96"/>
      <c r="E2" s="96"/>
      <c r="F2" s="96"/>
      <c r="G2" s="96"/>
      <c r="H2" s="96"/>
      <c r="I2" s="96"/>
      <c r="J2" s="96"/>
      <c r="K2" s="96"/>
    </row>
    <row r="3" spans="1:11" s="1251" customFormat="1" ht="21" customHeight="1">
      <c r="A3" s="338" t="s">
        <v>775</v>
      </c>
      <c r="B3" s="339" t="s">
        <v>776</v>
      </c>
      <c r="C3" s="339" t="s">
        <v>102</v>
      </c>
      <c r="D3" s="339" t="s">
        <v>92</v>
      </c>
      <c r="E3" s="339" t="s">
        <v>93</v>
      </c>
      <c r="F3" s="339" t="s">
        <v>777</v>
      </c>
      <c r="G3" s="1249" t="s">
        <v>23</v>
      </c>
      <c r="H3" s="340" t="s">
        <v>778</v>
      </c>
      <c r="I3" s="1250"/>
      <c r="J3" s="1250"/>
      <c r="K3" s="1250"/>
    </row>
    <row r="4" spans="1:11" ht="15.75">
      <c r="A4" s="1253" t="s">
        <v>782</v>
      </c>
      <c r="B4" s="1254">
        <v>157056</v>
      </c>
      <c r="C4" s="1254">
        <v>96420</v>
      </c>
      <c r="D4" s="1254">
        <v>8199</v>
      </c>
      <c r="E4" s="1254">
        <v>200036</v>
      </c>
      <c r="F4" s="1254">
        <v>176210</v>
      </c>
      <c r="G4" s="1763">
        <f t="shared" ref="G4:G36" si="0">SUM(B4:F4)</f>
        <v>637921</v>
      </c>
      <c r="H4" s="1764">
        <f t="shared" ref="H4:H36" si="1">G4/$G$37</f>
        <v>0.21935553752200704</v>
      </c>
      <c r="I4" s="47"/>
    </row>
    <row r="5" spans="1:11" ht="15.75">
      <c r="A5" s="1255" t="s">
        <v>141</v>
      </c>
      <c r="B5" s="1252">
        <v>212597</v>
      </c>
      <c r="C5" s="1252">
        <v>51184</v>
      </c>
      <c r="D5" s="1252">
        <v>108</v>
      </c>
      <c r="E5" s="1252">
        <v>160253</v>
      </c>
      <c r="F5" s="1252">
        <v>210871</v>
      </c>
      <c r="G5" s="1765">
        <f t="shared" si="0"/>
        <v>635013</v>
      </c>
      <c r="H5" s="1766">
        <f t="shared" si="1"/>
        <v>0.21835559253961268</v>
      </c>
      <c r="I5" s="47"/>
    </row>
    <row r="6" spans="1:11" ht="15.75">
      <c r="A6" s="1255" t="s">
        <v>142</v>
      </c>
      <c r="B6" s="1252">
        <v>104481</v>
      </c>
      <c r="C6" s="1252">
        <v>62337</v>
      </c>
      <c r="D6" s="1252">
        <v>594</v>
      </c>
      <c r="E6" s="1252">
        <v>215804</v>
      </c>
      <c r="F6" s="1252">
        <v>28125</v>
      </c>
      <c r="G6" s="1765">
        <f t="shared" si="0"/>
        <v>411341</v>
      </c>
      <c r="H6" s="1766">
        <f t="shared" si="1"/>
        <v>0.14144373074383804</v>
      </c>
      <c r="I6" s="47"/>
    </row>
    <row r="7" spans="1:11" ht="15.75">
      <c r="A7" s="1255" t="s">
        <v>780</v>
      </c>
      <c r="B7" s="1252">
        <v>119692</v>
      </c>
      <c r="C7" s="1252">
        <v>36831</v>
      </c>
      <c r="D7" s="1252">
        <v>4</v>
      </c>
      <c r="E7" s="1252">
        <v>114317</v>
      </c>
      <c r="F7" s="1252">
        <v>50671</v>
      </c>
      <c r="G7" s="1765">
        <f t="shared" si="0"/>
        <v>321515</v>
      </c>
      <c r="H7" s="1766">
        <f t="shared" si="1"/>
        <v>0.1105561592209507</v>
      </c>
      <c r="I7" s="47"/>
    </row>
    <row r="8" spans="1:11" ht="15.75">
      <c r="A8" s="1255" t="s">
        <v>292</v>
      </c>
      <c r="B8" s="1252">
        <v>52947</v>
      </c>
      <c r="C8" s="1252">
        <v>15891</v>
      </c>
      <c r="D8" s="1252">
        <v>49</v>
      </c>
      <c r="E8" s="1252">
        <v>37922</v>
      </c>
      <c r="F8" s="1252">
        <v>17157</v>
      </c>
      <c r="G8" s="1765">
        <f t="shared" si="0"/>
        <v>123966</v>
      </c>
      <c r="H8" s="1766">
        <f t="shared" si="1"/>
        <v>4.2626953124999999E-2</v>
      </c>
      <c r="I8" s="47"/>
    </row>
    <row r="9" spans="1:11" ht="15.75">
      <c r="A9" s="1255" t="s">
        <v>303</v>
      </c>
      <c r="B9" s="1252">
        <v>29891</v>
      </c>
      <c r="C9" s="1252">
        <v>8444</v>
      </c>
      <c r="D9" s="1252">
        <v>11317</v>
      </c>
      <c r="E9" s="1252">
        <v>25033</v>
      </c>
      <c r="F9" s="1252">
        <v>9330</v>
      </c>
      <c r="G9" s="1765">
        <f t="shared" si="0"/>
        <v>84015</v>
      </c>
      <c r="H9" s="1766">
        <f t="shared" si="1"/>
        <v>2.8889400858274648E-2</v>
      </c>
      <c r="I9" s="47"/>
      <c r="J9" s="47"/>
      <c r="K9" s="47"/>
    </row>
    <row r="10" spans="1:11" ht="15.75">
      <c r="A10" s="1255" t="s">
        <v>289</v>
      </c>
      <c r="B10" s="1252">
        <v>27951</v>
      </c>
      <c r="C10" s="1252">
        <v>8597</v>
      </c>
      <c r="D10" s="1252">
        <v>342</v>
      </c>
      <c r="E10" s="1252">
        <v>28652</v>
      </c>
      <c r="F10" s="1252">
        <v>15861</v>
      </c>
      <c r="G10" s="1765">
        <f t="shared" si="0"/>
        <v>81403</v>
      </c>
      <c r="H10" s="1766">
        <f t="shared" si="1"/>
        <v>2.7991238446302816E-2</v>
      </c>
      <c r="I10" s="47"/>
      <c r="J10" s="47"/>
      <c r="K10" s="47"/>
    </row>
    <row r="11" spans="1:11" ht="15.75">
      <c r="A11" s="1255" t="s">
        <v>427</v>
      </c>
      <c r="B11" s="1252">
        <v>23933</v>
      </c>
      <c r="C11" s="1252">
        <v>9502</v>
      </c>
      <c r="D11" s="1252">
        <v>5</v>
      </c>
      <c r="E11" s="1252">
        <v>27367</v>
      </c>
      <c r="F11" s="1252">
        <v>13133</v>
      </c>
      <c r="G11" s="1765">
        <f t="shared" si="0"/>
        <v>73940</v>
      </c>
      <c r="H11" s="1766">
        <f t="shared" si="1"/>
        <v>2.5425011003521125E-2</v>
      </c>
      <c r="I11" s="47"/>
      <c r="J11" s="47"/>
      <c r="K11" s="47"/>
    </row>
    <row r="12" spans="1:11" ht="15.75">
      <c r="A12" s="1255" t="s">
        <v>295</v>
      </c>
      <c r="B12" s="1252">
        <v>30052</v>
      </c>
      <c r="C12" s="1252">
        <v>7737</v>
      </c>
      <c r="D12" s="1252">
        <v>7</v>
      </c>
      <c r="E12" s="1252">
        <v>20856</v>
      </c>
      <c r="F12" s="1252">
        <v>12600</v>
      </c>
      <c r="G12" s="1765">
        <f t="shared" si="0"/>
        <v>71252</v>
      </c>
      <c r="H12" s="1766">
        <f t="shared" si="1"/>
        <v>2.4500715228873239E-2</v>
      </c>
      <c r="I12" s="47"/>
      <c r="J12" s="47"/>
      <c r="K12" s="47"/>
    </row>
    <row r="13" spans="1:11" ht="15.75">
      <c r="A13" s="1255" t="s">
        <v>579</v>
      </c>
      <c r="B13" s="1252">
        <v>26529</v>
      </c>
      <c r="C13" s="1252">
        <v>7063</v>
      </c>
      <c r="D13" s="1252">
        <v>978</v>
      </c>
      <c r="E13" s="1252">
        <v>13282</v>
      </c>
      <c r="F13" s="1252">
        <v>7347</v>
      </c>
      <c r="G13" s="1765">
        <f t="shared" si="0"/>
        <v>55199</v>
      </c>
      <c r="H13" s="1766">
        <f t="shared" si="1"/>
        <v>1.898073008362676E-2</v>
      </c>
      <c r="I13" s="47"/>
      <c r="J13" s="47"/>
      <c r="K13" s="47"/>
    </row>
    <row r="14" spans="1:11" ht="15.75">
      <c r="A14" s="1255" t="s">
        <v>306</v>
      </c>
      <c r="B14" s="1252">
        <v>22681</v>
      </c>
      <c r="C14" s="1252">
        <v>6916</v>
      </c>
      <c r="D14" s="1252">
        <v>2</v>
      </c>
      <c r="E14" s="1252">
        <v>13026</v>
      </c>
      <c r="F14" s="1252">
        <v>4951</v>
      </c>
      <c r="G14" s="1765">
        <f t="shared" si="0"/>
        <v>47576</v>
      </c>
      <c r="H14" s="1766">
        <f t="shared" si="1"/>
        <v>1.6359485035211268E-2</v>
      </c>
      <c r="I14" s="47"/>
      <c r="J14" s="47"/>
      <c r="K14" s="47"/>
    </row>
    <row r="15" spans="1:11" ht="15.75">
      <c r="A15" s="1255" t="s">
        <v>308</v>
      </c>
      <c r="B15" s="1252">
        <v>13982</v>
      </c>
      <c r="C15" s="1252">
        <v>8827</v>
      </c>
      <c r="D15" s="1252">
        <v>1</v>
      </c>
      <c r="E15" s="1252">
        <v>13160</v>
      </c>
      <c r="F15" s="1252">
        <v>6684</v>
      </c>
      <c r="G15" s="1765">
        <f t="shared" si="0"/>
        <v>42654</v>
      </c>
      <c r="H15" s="1766">
        <f t="shared" si="1"/>
        <v>1.4667005941901408E-2</v>
      </c>
      <c r="I15" s="47"/>
      <c r="J15" s="47"/>
      <c r="K15" s="47"/>
    </row>
    <row r="16" spans="1:11" ht="15.75">
      <c r="A16" s="1255" t="s">
        <v>300</v>
      </c>
      <c r="B16" s="1252">
        <v>13760</v>
      </c>
      <c r="C16" s="1252">
        <v>4581</v>
      </c>
      <c r="D16" s="1252">
        <v>2</v>
      </c>
      <c r="E16" s="1252">
        <v>10173</v>
      </c>
      <c r="F16" s="1252">
        <v>7538</v>
      </c>
      <c r="G16" s="1765">
        <f t="shared" si="0"/>
        <v>36054</v>
      </c>
      <c r="H16" s="1766">
        <f t="shared" si="1"/>
        <v>1.2397529709507043E-2</v>
      </c>
      <c r="I16" s="47"/>
      <c r="J16" s="47"/>
      <c r="K16" s="47"/>
    </row>
    <row r="17" spans="1:11" ht="15.75">
      <c r="A17" s="1255" t="s">
        <v>781</v>
      </c>
      <c r="B17" s="1252">
        <v>7249</v>
      </c>
      <c r="C17" s="1252">
        <v>4292</v>
      </c>
      <c r="D17" s="1252">
        <v>0</v>
      </c>
      <c r="E17" s="1252">
        <v>19953</v>
      </c>
      <c r="F17" s="1252">
        <v>3679</v>
      </c>
      <c r="G17" s="1765">
        <f t="shared" si="0"/>
        <v>35173</v>
      </c>
      <c r="H17" s="1766">
        <f t="shared" si="1"/>
        <v>1.2094589018485915E-2</v>
      </c>
      <c r="I17" s="47"/>
      <c r="J17" s="47"/>
      <c r="K17" s="47"/>
    </row>
    <row r="18" spans="1:11" ht="15.75">
      <c r="A18" s="1255" t="s">
        <v>296</v>
      </c>
      <c r="B18" s="1252">
        <v>7028</v>
      </c>
      <c r="C18" s="1252">
        <v>3438</v>
      </c>
      <c r="D18" s="1252">
        <v>5</v>
      </c>
      <c r="E18" s="1252">
        <v>10202</v>
      </c>
      <c r="F18" s="1252">
        <v>5145</v>
      </c>
      <c r="G18" s="1765">
        <f t="shared" si="0"/>
        <v>25818</v>
      </c>
      <c r="H18" s="1766">
        <f t="shared" si="1"/>
        <v>8.877778389084507E-3</v>
      </c>
      <c r="I18" s="47"/>
      <c r="J18" s="47"/>
      <c r="K18" s="47"/>
    </row>
    <row r="19" spans="1:11" ht="15.75">
      <c r="A19" s="1255" t="s">
        <v>429</v>
      </c>
      <c r="B19" s="1252">
        <v>6805</v>
      </c>
      <c r="C19" s="1252">
        <v>4596</v>
      </c>
      <c r="D19" s="1252">
        <v>5</v>
      </c>
      <c r="E19" s="1252">
        <v>6416</v>
      </c>
      <c r="F19" s="1252">
        <v>5863</v>
      </c>
      <c r="G19" s="1765">
        <f t="shared" si="0"/>
        <v>23685</v>
      </c>
      <c r="H19" s="1766">
        <f t="shared" si="1"/>
        <v>8.1443249339788731E-3</v>
      </c>
      <c r="I19" s="47"/>
      <c r="J19" s="47"/>
      <c r="K19" s="47"/>
    </row>
    <row r="20" spans="1:11" ht="15.75">
      <c r="A20" s="1255" t="s">
        <v>312</v>
      </c>
      <c r="B20" s="1252">
        <v>7198</v>
      </c>
      <c r="C20" s="1252">
        <v>5466</v>
      </c>
      <c r="D20" s="1252">
        <v>10</v>
      </c>
      <c r="E20" s="1252">
        <v>6531</v>
      </c>
      <c r="F20" s="1252">
        <v>4043</v>
      </c>
      <c r="G20" s="1765">
        <f t="shared" si="0"/>
        <v>23248</v>
      </c>
      <c r="H20" s="1766">
        <f t="shared" si="1"/>
        <v>7.9940580985915499E-3</v>
      </c>
      <c r="I20" s="47"/>
      <c r="J20" s="47"/>
      <c r="K20" s="47"/>
    </row>
    <row r="21" spans="1:11" ht="15.75">
      <c r="A21" s="1255" t="s">
        <v>310</v>
      </c>
      <c r="B21" s="1252">
        <v>5878</v>
      </c>
      <c r="C21" s="1252">
        <v>7440</v>
      </c>
      <c r="D21" s="1252">
        <v>2</v>
      </c>
      <c r="E21" s="1252">
        <v>4399</v>
      </c>
      <c r="F21" s="1252">
        <v>5083</v>
      </c>
      <c r="G21" s="1765">
        <f t="shared" si="0"/>
        <v>22802</v>
      </c>
      <c r="H21" s="1766">
        <f t="shared" si="1"/>
        <v>7.8406965228873231E-3</v>
      </c>
      <c r="I21" s="47"/>
      <c r="J21" s="47"/>
      <c r="K21" s="47"/>
    </row>
    <row r="22" spans="1:11" ht="15.75">
      <c r="A22" s="1255" t="s">
        <v>779</v>
      </c>
      <c r="B22" s="1252">
        <v>7462</v>
      </c>
      <c r="C22" s="1252">
        <v>5807</v>
      </c>
      <c r="D22" s="1252">
        <v>0</v>
      </c>
      <c r="E22" s="1252">
        <v>6353</v>
      </c>
      <c r="F22" s="1252">
        <v>1735</v>
      </c>
      <c r="G22" s="1765">
        <f t="shared" si="0"/>
        <v>21357</v>
      </c>
      <c r="H22" s="1766">
        <f t="shared" si="1"/>
        <v>7.3438187720070418E-3</v>
      </c>
      <c r="I22" s="47"/>
      <c r="J22" s="47"/>
      <c r="K22" s="47"/>
    </row>
    <row r="23" spans="1:11" ht="15.75">
      <c r="A23" s="1255" t="s">
        <v>299</v>
      </c>
      <c r="B23" s="1252">
        <v>6589</v>
      </c>
      <c r="C23" s="1252">
        <v>1542</v>
      </c>
      <c r="D23" s="1252">
        <v>3</v>
      </c>
      <c r="E23" s="1252">
        <v>5577</v>
      </c>
      <c r="F23" s="1252">
        <v>2607</v>
      </c>
      <c r="G23" s="1765">
        <f t="shared" si="0"/>
        <v>16318</v>
      </c>
      <c r="H23" s="1766">
        <f t="shared" si="1"/>
        <v>5.611108054577465E-3</v>
      </c>
      <c r="I23" s="47"/>
      <c r="J23" s="47"/>
      <c r="K23" s="47"/>
    </row>
    <row r="24" spans="1:11" ht="15.75">
      <c r="A24" s="1255" t="s">
        <v>301</v>
      </c>
      <c r="B24" s="1252">
        <v>5051</v>
      </c>
      <c r="C24" s="1252">
        <v>3749</v>
      </c>
      <c r="D24" s="1252">
        <v>0</v>
      </c>
      <c r="E24" s="1252">
        <v>5706</v>
      </c>
      <c r="F24" s="1252">
        <v>1549</v>
      </c>
      <c r="G24" s="1765">
        <f t="shared" si="0"/>
        <v>16055</v>
      </c>
      <c r="H24" s="1766">
        <f t="shared" si="1"/>
        <v>5.5206728653169014E-3</v>
      </c>
      <c r="I24" s="47"/>
      <c r="J24" s="47"/>
      <c r="K24" s="47"/>
    </row>
    <row r="25" spans="1:11" ht="15.75">
      <c r="A25" s="1255" t="s">
        <v>305</v>
      </c>
      <c r="B25" s="1252">
        <v>7068</v>
      </c>
      <c r="C25" s="1252">
        <v>2109</v>
      </c>
      <c r="D25" s="1252">
        <v>20</v>
      </c>
      <c r="E25" s="1252">
        <v>3105</v>
      </c>
      <c r="F25" s="1252">
        <v>2004</v>
      </c>
      <c r="G25" s="1765">
        <f t="shared" si="0"/>
        <v>14306</v>
      </c>
      <c r="H25" s="1766">
        <f t="shared" si="1"/>
        <v>4.919261663732394E-3</v>
      </c>
      <c r="I25" s="47"/>
      <c r="J25" s="47"/>
      <c r="K25" s="47"/>
    </row>
    <row r="26" spans="1:11" ht="15.75">
      <c r="A26" s="1255" t="s">
        <v>298</v>
      </c>
      <c r="B26" s="1252">
        <v>3930</v>
      </c>
      <c r="C26" s="1252">
        <v>2930</v>
      </c>
      <c r="D26" s="1252">
        <v>1</v>
      </c>
      <c r="E26" s="1252">
        <v>4008</v>
      </c>
      <c r="F26" s="1252">
        <v>2109</v>
      </c>
      <c r="G26" s="1765">
        <f t="shared" si="0"/>
        <v>12978</v>
      </c>
      <c r="H26" s="1766">
        <f t="shared" si="1"/>
        <v>4.4626155369718312E-3</v>
      </c>
      <c r="I26" s="47"/>
      <c r="J26" s="47"/>
      <c r="K26" s="47"/>
    </row>
    <row r="27" spans="1:11" ht="15.75">
      <c r="A27" s="1255" t="s">
        <v>293</v>
      </c>
      <c r="B27" s="1252">
        <v>5377</v>
      </c>
      <c r="C27" s="1252">
        <v>1344</v>
      </c>
      <c r="D27" s="1252">
        <v>1</v>
      </c>
      <c r="E27" s="1252">
        <v>4097</v>
      </c>
      <c r="F27" s="1252">
        <v>1133</v>
      </c>
      <c r="G27" s="1765">
        <f t="shared" si="0"/>
        <v>11952</v>
      </c>
      <c r="H27" s="1766">
        <f t="shared" si="1"/>
        <v>4.1098151408450702E-3</v>
      </c>
      <c r="I27" s="47"/>
      <c r="J27" s="47"/>
      <c r="K27" s="47"/>
    </row>
    <row r="28" spans="1:11" ht="15.75">
      <c r="A28" s="1255" t="s">
        <v>428</v>
      </c>
      <c r="B28" s="1252">
        <v>2943</v>
      </c>
      <c r="C28" s="1252">
        <v>3614</v>
      </c>
      <c r="D28" s="1252">
        <v>0</v>
      </c>
      <c r="E28" s="1252">
        <v>3591</v>
      </c>
      <c r="F28" s="1252">
        <v>1499</v>
      </c>
      <c r="G28" s="1765">
        <f t="shared" si="0"/>
        <v>11647</v>
      </c>
      <c r="H28" s="1766">
        <f t="shared" si="1"/>
        <v>4.0049378301056336E-3</v>
      </c>
      <c r="I28" s="47"/>
      <c r="J28" s="47"/>
      <c r="K28" s="47"/>
    </row>
    <row r="29" spans="1:11" ht="15.75">
      <c r="A29" s="1255" t="s">
        <v>307</v>
      </c>
      <c r="B29" s="1252">
        <v>5265</v>
      </c>
      <c r="C29" s="1252">
        <v>1448</v>
      </c>
      <c r="D29" s="1252">
        <v>861</v>
      </c>
      <c r="E29" s="1252">
        <v>1647</v>
      </c>
      <c r="F29" s="1252">
        <v>1783</v>
      </c>
      <c r="G29" s="1765">
        <f t="shared" si="0"/>
        <v>11004</v>
      </c>
      <c r="H29" s="1766">
        <f t="shared" si="1"/>
        <v>3.7838358274647887E-3</v>
      </c>
      <c r="I29" s="47"/>
      <c r="J29" s="47"/>
      <c r="K29" s="47"/>
    </row>
    <row r="30" spans="1:11" ht="15.75">
      <c r="A30" s="1255" t="s">
        <v>311</v>
      </c>
      <c r="B30" s="1252">
        <v>2383</v>
      </c>
      <c r="C30" s="1252">
        <v>2137</v>
      </c>
      <c r="D30" s="1256">
        <v>0</v>
      </c>
      <c r="E30" s="1252">
        <v>2188</v>
      </c>
      <c r="F30" s="1252">
        <v>1651</v>
      </c>
      <c r="G30" s="1765">
        <f t="shared" si="0"/>
        <v>8359</v>
      </c>
      <c r="H30" s="1766">
        <f t="shared" si="1"/>
        <v>2.8743260343309859E-3</v>
      </c>
      <c r="I30" s="47"/>
      <c r="J30" s="47"/>
      <c r="K30" s="47"/>
    </row>
    <row r="31" spans="1:11" ht="15.75">
      <c r="A31" s="1255" t="s">
        <v>309</v>
      </c>
      <c r="B31" s="1252">
        <v>2264</v>
      </c>
      <c r="C31" s="1252">
        <v>2415</v>
      </c>
      <c r="D31" s="1252">
        <v>2</v>
      </c>
      <c r="E31" s="1252">
        <v>2458</v>
      </c>
      <c r="F31" s="1252">
        <v>730</v>
      </c>
      <c r="G31" s="1765">
        <f t="shared" si="0"/>
        <v>7869</v>
      </c>
      <c r="H31" s="1766">
        <f t="shared" si="1"/>
        <v>2.7058346170774649E-3</v>
      </c>
      <c r="I31" s="47"/>
      <c r="J31" s="47"/>
      <c r="K31" s="47"/>
    </row>
    <row r="32" spans="1:11" ht="15.75">
      <c r="A32" s="1255" t="s">
        <v>286</v>
      </c>
      <c r="B32" s="1252">
        <v>2058</v>
      </c>
      <c r="C32" s="1252">
        <v>2316</v>
      </c>
      <c r="D32" s="1252">
        <v>0</v>
      </c>
      <c r="E32" s="1252">
        <v>1685</v>
      </c>
      <c r="F32" s="1252">
        <v>249</v>
      </c>
      <c r="G32" s="1765">
        <f t="shared" si="0"/>
        <v>6308</v>
      </c>
      <c r="H32" s="1766">
        <f t="shared" si="1"/>
        <v>2.169069102112676E-3</v>
      </c>
      <c r="I32" s="47"/>
      <c r="J32" s="47"/>
      <c r="K32" s="47"/>
    </row>
    <row r="33" spans="1:13" ht="15.75">
      <c r="A33" s="1255" t="s">
        <v>304</v>
      </c>
      <c r="B33" s="1252">
        <v>1440</v>
      </c>
      <c r="C33" s="1252">
        <v>1758</v>
      </c>
      <c r="D33" s="1252">
        <v>0</v>
      </c>
      <c r="E33" s="1252">
        <v>1086</v>
      </c>
      <c r="F33" s="1252">
        <v>593</v>
      </c>
      <c r="G33" s="1765">
        <f t="shared" si="0"/>
        <v>4877</v>
      </c>
      <c r="H33" s="1766">
        <f t="shared" si="1"/>
        <v>1.6770053917253521E-3</v>
      </c>
      <c r="I33" s="47"/>
      <c r="J33" s="47"/>
      <c r="K33" s="47"/>
    </row>
    <row r="34" spans="1:13" ht="15.75">
      <c r="A34" s="1255" t="s">
        <v>291</v>
      </c>
      <c r="B34" s="1252">
        <v>1491</v>
      </c>
      <c r="C34" s="1252">
        <v>703</v>
      </c>
      <c r="D34" s="1252">
        <v>1</v>
      </c>
      <c r="E34" s="1252">
        <v>2126</v>
      </c>
      <c r="F34" s="1252">
        <v>291</v>
      </c>
      <c r="G34" s="1765">
        <f t="shared" si="0"/>
        <v>4612</v>
      </c>
      <c r="H34" s="1766">
        <f t="shared" si="1"/>
        <v>1.5858824823943663E-3</v>
      </c>
      <c r="I34" s="47"/>
      <c r="J34" s="47"/>
      <c r="K34" s="47"/>
    </row>
    <row r="35" spans="1:13" ht="15.75">
      <c r="A35" s="1255" t="s">
        <v>297</v>
      </c>
      <c r="B35" s="1252">
        <v>837</v>
      </c>
      <c r="C35" s="1252">
        <v>1262</v>
      </c>
      <c r="D35" s="1252">
        <v>0</v>
      </c>
      <c r="E35" s="1252">
        <v>1172</v>
      </c>
      <c r="F35" s="1252">
        <v>810</v>
      </c>
      <c r="G35" s="1765">
        <f t="shared" si="0"/>
        <v>4081</v>
      </c>
      <c r="H35" s="1766">
        <f t="shared" si="1"/>
        <v>1.403292803697183E-3</v>
      </c>
      <c r="I35" s="47"/>
      <c r="J35" s="47"/>
      <c r="K35" s="47"/>
    </row>
    <row r="36" spans="1:13" ht="15.75" customHeight="1">
      <c r="A36" s="1255" t="s">
        <v>924</v>
      </c>
      <c r="B36" s="1252">
        <v>1272</v>
      </c>
      <c r="C36" s="1252">
        <v>1058</v>
      </c>
      <c r="D36" s="1252">
        <v>0</v>
      </c>
      <c r="E36" s="1252">
        <v>844</v>
      </c>
      <c r="F36" s="1252">
        <v>688</v>
      </c>
      <c r="G36" s="1765">
        <f t="shared" si="0"/>
        <v>3862</v>
      </c>
      <c r="H36" s="1766">
        <f t="shared" si="1"/>
        <v>1.3279874559859156E-3</v>
      </c>
      <c r="I36" s="47"/>
      <c r="J36" s="47"/>
      <c r="K36" s="47"/>
    </row>
    <row r="37" spans="1:13" s="1221" customFormat="1" ht="18.75">
      <c r="A37" s="1643" t="s">
        <v>23</v>
      </c>
      <c r="B37" s="1644">
        <f>SUM(B4:B36)</f>
        <v>925140</v>
      </c>
      <c r="C37" s="1644">
        <f>SUM(C4:C36)</f>
        <v>383754</v>
      </c>
      <c r="D37" s="1644">
        <f>SUM(D4:D36)</f>
        <v>22519</v>
      </c>
      <c r="E37" s="1644">
        <f>SUM(E4:E36)</f>
        <v>973025</v>
      </c>
      <c r="F37" s="1644">
        <f>SUM(F4:F36)</f>
        <v>603722</v>
      </c>
      <c r="G37" s="1645">
        <f t="shared" ref="G37" si="2">SUM(B37:F37)</f>
        <v>2908160</v>
      </c>
      <c r="H37" s="1646">
        <f>SUM(H4:H36)</f>
        <v>0.99999999999999989</v>
      </c>
      <c r="I37" s="1647"/>
      <c r="J37" s="1647"/>
      <c r="K37" s="1647"/>
    </row>
    <row r="38" spans="1:13" ht="15.75">
      <c r="A38" s="1257" t="s">
        <v>926</v>
      </c>
      <c r="B38" s="47"/>
      <c r="C38" s="47"/>
      <c r="D38" s="47"/>
      <c r="E38" s="47"/>
      <c r="F38" s="47"/>
      <c r="G38" s="47"/>
      <c r="H38" s="47"/>
      <c r="I38" s="47"/>
      <c r="J38" s="47"/>
      <c r="K38" s="47"/>
    </row>
    <row r="47" spans="1:13">
      <c r="M47" s="77" t="s">
        <v>33</v>
      </c>
    </row>
    <row r="51" spans="13:13">
      <c r="M51" s="77" t="s">
        <v>33</v>
      </c>
    </row>
    <row r="63" spans="13:13">
      <c r="M63" s="77" t="s">
        <v>33</v>
      </c>
    </row>
    <row r="73" spans="8:12">
      <c r="H73" s="1762" t="s">
        <v>959</v>
      </c>
      <c r="I73" s="1762" t="s">
        <v>44</v>
      </c>
    </row>
    <row r="74" spans="8:12">
      <c r="H74" s="1758"/>
      <c r="I74" s="1757" t="s">
        <v>963</v>
      </c>
    </row>
    <row r="75" spans="8:12">
      <c r="H75" s="1759"/>
      <c r="I75" s="1757" t="s">
        <v>961</v>
      </c>
    </row>
    <row r="76" spans="8:12">
      <c r="H76" s="1760"/>
      <c r="I76" s="1757" t="s">
        <v>962</v>
      </c>
    </row>
    <row r="77" spans="8:12">
      <c r="H77" s="1761"/>
      <c r="I77" s="1757" t="s">
        <v>960</v>
      </c>
    </row>
    <row r="80" spans="8:12">
      <c r="L80" s="77" t="s">
        <v>33</v>
      </c>
    </row>
    <row r="89" spans="12:12">
      <c r="L89" s="77" t="s">
        <v>33</v>
      </c>
    </row>
    <row r="90" spans="12:12">
      <c r="L90" s="77" t="s">
        <v>33</v>
      </c>
    </row>
    <row r="93" spans="12:12">
      <c r="L93" s="77" t="s">
        <v>33</v>
      </c>
    </row>
    <row r="106" spans="12:13">
      <c r="L106" s="77" t="s">
        <v>984</v>
      </c>
      <c r="M106" s="77" t="s">
        <v>33</v>
      </c>
    </row>
  </sheetData>
  <mergeCells count="1">
    <mergeCell ref="A1:K1"/>
  </mergeCells>
  <printOptions horizontalCentered="1" verticalCentered="1"/>
  <pageMargins left="0.4" right="0.4" top="0.25" bottom="0.25" header="0.31496062992126" footer="0.31496062992126"/>
  <pageSetup scale="43"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
  <sheetViews>
    <sheetView showGridLines="0" view="pageBreakPreview" topLeftCell="B1" zoomScale="115" zoomScaleNormal="100" zoomScaleSheetLayoutView="115" workbookViewId="0">
      <selection activeCell="N31" sqref="N31"/>
    </sheetView>
  </sheetViews>
  <sheetFormatPr baseColWidth="10" defaultColWidth="11.42578125" defaultRowHeight="15"/>
  <cols>
    <col min="1" max="6" width="11.42578125" style="77"/>
    <col min="7" max="7" width="8.85546875" style="77" customWidth="1"/>
    <col min="8" max="16384" width="11.42578125" style="77"/>
  </cols>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
  <sheetViews>
    <sheetView showGridLines="0" view="pageBreakPreview" zoomScale="70" zoomScaleNormal="100" zoomScaleSheetLayoutView="70" workbookViewId="0">
      <selection activeCell="P28" sqref="P28"/>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L11:O28"/>
  <sheetViews>
    <sheetView showGridLines="0" view="pageBreakPreview" zoomScale="115" zoomScaleNormal="100" zoomScaleSheetLayoutView="115" workbookViewId="0">
      <selection activeCell="L27" sqref="L27"/>
    </sheetView>
  </sheetViews>
  <sheetFormatPr baseColWidth="10" defaultColWidth="11.42578125" defaultRowHeight="15"/>
  <cols>
    <col min="1" max="6" width="11.42578125" style="77"/>
    <col min="7" max="7" width="13.42578125" style="77" customWidth="1"/>
    <col min="8" max="10" width="11.42578125" style="77"/>
    <col min="11" max="11" width="9.42578125" style="77" customWidth="1"/>
    <col min="12" max="12" width="13.140625" style="77" customWidth="1"/>
    <col min="13" max="16384" width="11.42578125" style="77"/>
  </cols>
  <sheetData>
    <row r="11" spans="12:15">
      <c r="L11" s="1370"/>
    </row>
    <row r="12" spans="12:15">
      <c r="L12" s="284"/>
    </row>
    <row r="16" spans="12:15">
      <c r="O16" s="182"/>
    </row>
    <row r="17" spans="14:15">
      <c r="O17" s="182"/>
    </row>
    <row r="20" spans="14:15">
      <c r="N20" s="18"/>
    </row>
    <row r="21" spans="14:15">
      <c r="N21" s="18"/>
    </row>
    <row r="23" spans="14:15">
      <c r="O23" s="18"/>
    </row>
    <row r="28" spans="14:15">
      <c r="O28" s="284"/>
    </row>
  </sheetData>
  <pageMargins left="0.70866141732283472" right="0.70866141732283472" top="0.74803149606299213" bottom="0.74803149606299213" header="0.31496062992125984" footer="0.31496062992125984"/>
  <pageSetup scale="9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R38"/>
  <sheetViews>
    <sheetView showGridLines="0" view="pageBreakPreview" zoomScale="55" zoomScaleNormal="100" zoomScaleSheetLayoutView="55" workbookViewId="0">
      <selection activeCell="H6" sqref="H6"/>
    </sheetView>
  </sheetViews>
  <sheetFormatPr baseColWidth="10" defaultColWidth="11.42578125" defaultRowHeight="15"/>
  <cols>
    <col min="1" max="1" width="18.42578125" style="57" customWidth="1"/>
    <col min="2" max="2" width="21" style="57" customWidth="1"/>
    <col min="3" max="3" width="18.140625" style="57" hidden="1" customWidth="1"/>
    <col min="4" max="4" width="18.7109375" style="57" customWidth="1"/>
    <col min="5" max="5" width="22.7109375" style="57" bestFit="1" customWidth="1"/>
    <col min="6" max="6" width="21.85546875" style="57" customWidth="1"/>
    <col min="7" max="7" width="11.42578125" style="57"/>
    <col min="8" max="8" width="20.5703125" style="57" customWidth="1"/>
    <col min="9" max="9" width="16.85546875" style="57" bestFit="1" customWidth="1"/>
    <col min="10" max="10" width="15" style="57" bestFit="1" customWidth="1"/>
    <col min="11" max="13" width="15" style="57" customWidth="1"/>
    <col min="14" max="14" width="11.42578125" style="57"/>
    <col min="15" max="15" width="15.85546875" style="57" customWidth="1"/>
    <col min="16" max="16" width="17.42578125" style="57" customWidth="1"/>
    <col min="17" max="17" width="11.42578125" style="57"/>
    <col min="18" max="18" width="17.42578125" style="57" customWidth="1"/>
    <col min="19" max="16384" width="11.42578125" style="57"/>
  </cols>
  <sheetData>
    <row r="1" spans="1:18" s="77" customFormat="1" ht="92.25" customHeight="1">
      <c r="A1" s="1880"/>
      <c r="B1" s="1880"/>
      <c r="C1" s="1880"/>
      <c r="D1" s="1880"/>
      <c r="E1" s="1880"/>
      <c r="F1" s="1880"/>
      <c r="G1" s="1880"/>
      <c r="H1" s="1880"/>
      <c r="I1" s="1880"/>
      <c r="J1" s="1880"/>
      <c r="K1" s="1880"/>
      <c r="L1" s="1880"/>
      <c r="M1" s="1880"/>
      <c r="N1" s="1880"/>
      <c r="O1" s="1880"/>
      <c r="P1" s="1880"/>
    </row>
    <row r="2" spans="1:18" s="77" customFormat="1" ht="11.25" customHeight="1">
      <c r="A2" s="94"/>
      <c r="B2" s="94"/>
      <c r="C2" s="94"/>
      <c r="D2" s="94"/>
      <c r="E2" s="94"/>
      <c r="F2" s="94"/>
      <c r="G2" s="94"/>
      <c r="H2" s="94"/>
      <c r="I2" s="94"/>
      <c r="J2" s="94"/>
      <c r="K2" s="94"/>
      <c r="L2" s="94"/>
      <c r="M2" s="94"/>
      <c r="N2" s="94"/>
      <c r="O2" s="94"/>
      <c r="P2" s="94"/>
    </row>
    <row r="3" spans="1:18" s="77" customFormat="1" ht="60.75" customHeight="1">
      <c r="A3" s="521" t="s">
        <v>0</v>
      </c>
      <c r="B3" s="386" t="s">
        <v>449</v>
      </c>
      <c r="C3" s="386" t="s">
        <v>220</v>
      </c>
      <c r="D3" s="386" t="s">
        <v>463</v>
      </c>
      <c r="E3" s="386" t="s">
        <v>220</v>
      </c>
      <c r="F3" s="388" t="s">
        <v>574</v>
      </c>
      <c r="G3" s="19"/>
      <c r="H3" s="19"/>
      <c r="I3" s="206"/>
      <c r="J3" s="19"/>
      <c r="K3" s="19"/>
      <c r="L3" s="19"/>
      <c r="M3" s="19"/>
      <c r="N3" s="19"/>
      <c r="O3" s="19"/>
      <c r="P3" s="19"/>
      <c r="R3" s="946"/>
    </row>
    <row r="4" spans="1:18" s="77" customFormat="1" ht="18.75">
      <c r="A4" s="389" t="s">
        <v>9</v>
      </c>
      <c r="B4" s="1258">
        <v>1566047</v>
      </c>
      <c r="C4" s="527"/>
      <c r="D4" s="528">
        <v>1188229</v>
      </c>
      <c r="E4" s="527"/>
      <c r="F4" s="529">
        <f>D4/B4</f>
        <v>0.75874415007978691</v>
      </c>
      <c r="G4" s="19"/>
      <c r="H4" s="19"/>
      <c r="R4" s="946"/>
    </row>
    <row r="5" spans="1:18" s="77" customFormat="1" ht="18.75">
      <c r="A5" s="389" t="s">
        <v>10</v>
      </c>
      <c r="B5" s="1259">
        <v>1560994</v>
      </c>
      <c r="C5" s="523">
        <f>B5/B4-1</f>
        <v>-3.226595370381613E-3</v>
      </c>
      <c r="D5" s="522">
        <v>1227725</v>
      </c>
      <c r="E5" s="523">
        <f>D5/D4-1</f>
        <v>3.323938399079629E-2</v>
      </c>
      <c r="F5" s="524">
        <f>D5/B5</f>
        <v>0.78650206214758034</v>
      </c>
      <c r="G5" s="20"/>
      <c r="H5" s="20"/>
      <c r="R5" s="946"/>
    </row>
    <row r="6" spans="1:18" s="77" customFormat="1" ht="18.75">
      <c r="A6" s="389" t="s">
        <v>151</v>
      </c>
      <c r="B6" s="1259">
        <v>1631129</v>
      </c>
      <c r="C6" s="523">
        <f>B6/B5-1</f>
        <v>4.4929705046912405E-2</v>
      </c>
      <c r="D6" s="522">
        <v>1299087</v>
      </c>
      <c r="E6" s="523">
        <f>D6/D5-1</f>
        <v>5.8125394530534225E-2</v>
      </c>
      <c r="F6" s="524">
        <f t="shared" ref="F6:F11" si="0">D6/B6</f>
        <v>0.79643424891593495</v>
      </c>
      <c r="G6" s="23"/>
      <c r="H6" s="23"/>
      <c r="J6" s="23"/>
      <c r="K6" s="23"/>
      <c r="L6" s="23"/>
      <c r="M6" s="23"/>
      <c r="N6" s="23"/>
      <c r="O6" s="23"/>
      <c r="P6" s="23"/>
      <c r="R6" s="946"/>
    </row>
    <row r="7" spans="1:18" s="77" customFormat="1" ht="18.75">
      <c r="A7" s="389" t="s">
        <v>249</v>
      </c>
      <c r="B7" s="1259">
        <v>1686216</v>
      </c>
      <c r="C7" s="523">
        <f>B7/B6-1</f>
        <v>3.3772313532528742E-2</v>
      </c>
      <c r="D7" s="522">
        <v>1367790</v>
      </c>
      <c r="E7" s="523">
        <f>D7/D6-1</f>
        <v>5.2885603504615242E-2</v>
      </c>
      <c r="F7" s="524">
        <f t="shared" si="0"/>
        <v>0.81115942441537736</v>
      </c>
      <c r="R7" s="946"/>
    </row>
    <row r="8" spans="1:18" s="77" customFormat="1" ht="18.75">
      <c r="A8" s="389" t="s">
        <v>492</v>
      </c>
      <c r="B8" s="1259">
        <v>1716228</v>
      </c>
      <c r="C8" s="523">
        <f>B8/B7-1</f>
        <v>1.7798431517670243E-2</v>
      </c>
      <c r="D8" s="283">
        <v>1430273</v>
      </c>
      <c r="E8" s="523">
        <f>D8/D7-1</f>
        <v>4.5681720147098703E-2</v>
      </c>
      <c r="F8" s="524">
        <f t="shared" si="0"/>
        <v>0.83338169520599825</v>
      </c>
      <c r="N8" s="77" t="s">
        <v>33</v>
      </c>
      <c r="R8" s="946"/>
    </row>
    <row r="9" spans="1:18" s="77" customFormat="1" ht="18.75">
      <c r="A9" s="389" t="s">
        <v>573</v>
      </c>
      <c r="B9" s="1259">
        <v>1769801</v>
      </c>
      <c r="C9" s="523">
        <f>B9/B8-1</f>
        <v>3.1215549449140845E-2</v>
      </c>
      <c r="D9" s="283">
        <v>1530322</v>
      </c>
      <c r="E9" s="523">
        <f>D9/D8-1</f>
        <v>6.9950981386071032E-2</v>
      </c>
      <c r="F9" s="524">
        <f t="shared" si="0"/>
        <v>0.864685916665207</v>
      </c>
      <c r="G9" s="23"/>
      <c r="H9" s="23"/>
      <c r="J9" s="23"/>
      <c r="K9" s="23"/>
      <c r="L9" s="23"/>
      <c r="M9" s="23"/>
      <c r="N9" s="23"/>
      <c r="O9" s="23"/>
      <c r="P9" s="23"/>
      <c r="R9" s="212"/>
    </row>
    <row r="10" spans="1:18" s="77" customFormat="1" ht="18.75">
      <c r="A10" s="389" t="s">
        <v>581</v>
      </c>
      <c r="B10" s="1259">
        <v>1865496</v>
      </c>
      <c r="C10" s="523">
        <v>5.4071050926064679E-2</v>
      </c>
      <c r="D10" s="283">
        <v>1651202</v>
      </c>
      <c r="E10" s="523">
        <v>7.8989911927032308E-2</v>
      </c>
      <c r="F10" s="524">
        <f t="shared" si="0"/>
        <v>0.88512760145291114</v>
      </c>
      <c r="G10" s="23"/>
      <c r="H10" s="23"/>
      <c r="J10" s="23"/>
      <c r="K10" s="23"/>
      <c r="L10" s="23"/>
      <c r="M10" s="23"/>
      <c r="N10" s="23"/>
      <c r="O10" s="23"/>
      <c r="P10" s="23"/>
      <c r="R10" s="947"/>
    </row>
    <row r="11" spans="1:18" s="77" customFormat="1" ht="18.75">
      <c r="A11" s="417" t="s">
        <v>949</v>
      </c>
      <c r="B11" s="1260">
        <v>1865496</v>
      </c>
      <c r="C11" s="525"/>
      <c r="D11" s="1648">
        <v>1706784</v>
      </c>
      <c r="E11" s="525">
        <f>D11/D9-1</f>
        <v>0.11531037258825272</v>
      </c>
      <c r="F11" s="526">
        <f t="shared" si="0"/>
        <v>0.91492235845051395</v>
      </c>
      <c r="G11" s="23"/>
      <c r="J11" s="23"/>
      <c r="K11" s="23"/>
      <c r="L11" s="23"/>
      <c r="M11" s="23"/>
      <c r="N11" s="23"/>
      <c r="O11" s="23"/>
      <c r="P11" s="23"/>
    </row>
    <row r="12" spans="1:18" s="77" customFormat="1">
      <c r="B12" s="23"/>
      <c r="C12" s="23"/>
      <c r="D12" s="23"/>
      <c r="E12" s="23"/>
      <c r="F12" s="23"/>
      <c r="G12" s="23"/>
      <c r="H12" s="23"/>
      <c r="J12" s="23"/>
      <c r="K12" s="23"/>
      <c r="L12" s="23"/>
      <c r="M12" s="23"/>
      <c r="N12" s="23"/>
      <c r="O12" s="23"/>
      <c r="P12" s="23"/>
    </row>
    <row r="13" spans="1:18" s="77" customFormat="1">
      <c r="B13" s="23"/>
      <c r="C13" s="23"/>
      <c r="D13" s="23"/>
      <c r="E13" s="23"/>
      <c r="F13" s="23"/>
      <c r="G13" s="23"/>
      <c r="H13" s="23"/>
      <c r="I13" s="23"/>
      <c r="J13" s="23"/>
      <c r="K13" s="23"/>
      <c r="L13" s="23"/>
      <c r="M13" s="23"/>
      <c r="N13" s="23"/>
      <c r="O13" s="23"/>
      <c r="P13" s="23"/>
    </row>
    <row r="14" spans="1:18" s="77" customFormat="1">
      <c r="B14" s="23"/>
      <c r="C14" s="23"/>
      <c r="D14" s="23"/>
      <c r="E14" s="23"/>
      <c r="F14" s="23"/>
      <c r="G14" s="23"/>
      <c r="H14" s="23"/>
      <c r="I14" s="23"/>
      <c r="J14" s="23"/>
      <c r="K14" s="23"/>
      <c r="L14" s="23"/>
      <c r="M14" s="23"/>
      <c r="N14" s="23"/>
      <c r="O14" s="23"/>
      <c r="P14" s="23"/>
    </row>
    <row r="15" spans="1:18" s="77" customFormat="1">
      <c r="B15" s="23"/>
      <c r="C15" s="23"/>
      <c r="D15" s="23"/>
      <c r="E15" s="23"/>
      <c r="F15" s="23"/>
      <c r="G15" s="23"/>
      <c r="H15" s="23"/>
      <c r="I15" s="23"/>
      <c r="J15" s="23"/>
      <c r="K15" s="23"/>
      <c r="L15" s="23"/>
      <c r="M15" s="23"/>
      <c r="N15" s="23"/>
      <c r="O15" s="23"/>
      <c r="P15" s="23"/>
    </row>
    <row r="16" spans="1:18" s="77" customFormat="1">
      <c r="B16" s="23"/>
      <c r="C16" s="23"/>
      <c r="D16" s="23"/>
      <c r="E16" s="23"/>
      <c r="F16" s="23"/>
      <c r="G16" s="23"/>
      <c r="H16" s="23"/>
      <c r="I16" s="23"/>
      <c r="J16" s="23"/>
      <c r="K16" s="23"/>
      <c r="L16" s="23"/>
      <c r="M16" s="23"/>
      <c r="N16" s="23"/>
      <c r="O16" s="23"/>
      <c r="P16" s="23"/>
    </row>
    <row r="17" spans="2:16" s="77" customFormat="1">
      <c r="B17" s="23"/>
      <c r="C17" s="23"/>
      <c r="D17" s="23"/>
      <c r="E17" s="23"/>
      <c r="F17" s="23"/>
      <c r="G17" s="23"/>
      <c r="H17" s="23"/>
      <c r="I17" s="23"/>
      <c r="J17" s="23"/>
      <c r="K17" s="23"/>
      <c r="L17" s="23"/>
      <c r="M17" s="23"/>
      <c r="N17" s="23"/>
      <c r="O17" s="23"/>
      <c r="P17" s="23"/>
    </row>
    <row r="18" spans="2:16" s="77" customFormat="1">
      <c r="B18" s="23"/>
      <c r="C18" s="23"/>
      <c r="D18" s="23"/>
      <c r="E18" s="23"/>
      <c r="F18" s="23"/>
      <c r="G18" s="23"/>
      <c r="H18" s="23"/>
      <c r="I18" s="23"/>
      <c r="J18" s="23"/>
      <c r="K18" s="23"/>
      <c r="L18" s="23"/>
      <c r="M18" s="23"/>
      <c r="N18" s="23"/>
      <c r="O18" s="23"/>
      <c r="P18" s="23"/>
    </row>
    <row r="19" spans="2:16" s="77" customFormat="1">
      <c r="B19" s="23"/>
      <c r="C19" s="23"/>
      <c r="D19" s="23"/>
      <c r="E19" s="23"/>
      <c r="F19" s="23"/>
      <c r="G19" s="23"/>
      <c r="H19" s="23"/>
      <c r="I19" s="23"/>
      <c r="J19" s="23"/>
      <c r="K19" s="23"/>
      <c r="L19" s="23"/>
      <c r="M19" s="23"/>
      <c r="N19" s="23"/>
      <c r="O19" s="23"/>
      <c r="P19" s="23"/>
    </row>
    <row r="20" spans="2:16" s="77" customFormat="1">
      <c r="B20" s="23"/>
      <c r="C20" s="23"/>
      <c r="D20" s="23"/>
      <c r="E20" s="23"/>
      <c r="F20" s="23"/>
      <c r="G20" s="23"/>
      <c r="H20" s="23"/>
      <c r="I20" s="23"/>
      <c r="J20" s="23"/>
      <c r="K20" s="23"/>
      <c r="L20" s="23"/>
      <c r="M20" s="23"/>
      <c r="N20" s="23"/>
      <c r="O20" s="23"/>
      <c r="P20" s="23"/>
    </row>
    <row r="21" spans="2:16" s="77" customFormat="1">
      <c r="B21" s="23"/>
      <c r="C21" s="23"/>
      <c r="D21" s="23"/>
      <c r="E21" s="23"/>
      <c r="F21" s="23"/>
      <c r="G21" s="23"/>
      <c r="H21" s="23"/>
      <c r="I21" s="23"/>
      <c r="J21" s="23"/>
      <c r="K21" s="23"/>
      <c r="L21" s="23"/>
      <c r="M21" s="23"/>
      <c r="N21" s="23"/>
      <c r="O21" s="23"/>
      <c r="P21" s="23"/>
    </row>
    <row r="22" spans="2:16" s="77" customFormat="1">
      <c r="B22" s="23"/>
      <c r="C22" s="23"/>
      <c r="D22" s="23"/>
      <c r="E22" s="23"/>
      <c r="F22" s="23"/>
      <c r="G22" s="23"/>
      <c r="H22" s="23"/>
      <c r="I22" s="23"/>
      <c r="J22" s="23"/>
      <c r="K22" s="23"/>
      <c r="L22" s="23"/>
      <c r="M22" s="23"/>
      <c r="N22" s="23"/>
      <c r="O22" s="23"/>
      <c r="P22" s="23"/>
    </row>
    <row r="23" spans="2:16" s="77" customFormat="1">
      <c r="B23" s="23"/>
      <c r="C23" s="23"/>
      <c r="D23" s="23"/>
      <c r="E23" s="23"/>
      <c r="F23" s="23"/>
      <c r="G23" s="23"/>
      <c r="H23" s="23"/>
      <c r="I23" s="23"/>
      <c r="J23" s="23"/>
      <c r="K23" s="23"/>
      <c r="L23" s="23"/>
      <c r="M23" s="23"/>
      <c r="N23" s="23"/>
      <c r="O23" s="23"/>
      <c r="P23" s="23"/>
    </row>
    <row r="24" spans="2:16" s="77" customFormat="1">
      <c r="B24" s="23"/>
      <c r="C24" s="23"/>
      <c r="D24" s="23"/>
      <c r="E24" s="23"/>
      <c r="F24" s="23"/>
      <c r="G24" s="23"/>
      <c r="H24" s="23"/>
      <c r="I24" s="23"/>
      <c r="J24" s="23"/>
      <c r="K24" s="23"/>
      <c r="L24" s="23"/>
      <c r="M24" s="23"/>
      <c r="N24" s="23"/>
      <c r="O24" s="23"/>
      <c r="P24" s="23"/>
    </row>
    <row r="25" spans="2:16" s="77" customFormat="1">
      <c r="B25" s="23"/>
      <c r="C25" s="23"/>
      <c r="D25" s="23"/>
      <c r="E25" s="23"/>
      <c r="F25" s="23"/>
      <c r="G25" s="23"/>
      <c r="H25" s="23"/>
      <c r="I25" s="23"/>
      <c r="J25" s="23"/>
      <c r="K25" s="23"/>
      <c r="L25" s="23"/>
      <c r="M25" s="23"/>
      <c r="N25" s="23"/>
      <c r="O25" s="23"/>
      <c r="P25" s="23"/>
    </row>
    <row r="26" spans="2:16" s="77" customFormat="1">
      <c r="B26" s="23"/>
      <c r="C26" s="23"/>
      <c r="D26" s="23"/>
      <c r="E26" s="23"/>
      <c r="F26" s="23"/>
      <c r="G26" s="23"/>
      <c r="H26" s="23"/>
      <c r="I26" s="23"/>
      <c r="J26" s="23"/>
      <c r="K26" s="23"/>
      <c r="L26" s="23"/>
      <c r="M26" s="23"/>
      <c r="N26" s="23"/>
      <c r="O26" s="23"/>
      <c r="P26" s="23"/>
    </row>
    <row r="27" spans="2:16" s="77" customFormat="1">
      <c r="B27" s="23"/>
      <c r="C27" s="23"/>
      <c r="D27" s="23"/>
      <c r="E27" s="23"/>
      <c r="F27" s="23"/>
      <c r="G27" s="23"/>
      <c r="H27" s="23"/>
      <c r="I27" s="23"/>
      <c r="J27" s="23"/>
      <c r="K27" s="23"/>
      <c r="L27" s="23"/>
      <c r="M27" s="23"/>
      <c r="N27" s="23"/>
      <c r="O27" s="23"/>
      <c r="P27" s="23"/>
    </row>
    <row r="28" spans="2:16" s="77" customFormat="1">
      <c r="B28" s="23"/>
      <c r="C28" s="23"/>
      <c r="D28" s="23"/>
      <c r="E28" s="23"/>
      <c r="F28" s="23"/>
      <c r="G28" s="23"/>
      <c r="H28" s="23"/>
      <c r="I28" s="23"/>
      <c r="J28" s="23"/>
      <c r="K28" s="23"/>
      <c r="L28" s="23"/>
      <c r="M28" s="23"/>
      <c r="N28" s="23"/>
      <c r="O28" s="23"/>
      <c r="P28" s="23"/>
    </row>
    <row r="29" spans="2:16" s="77" customFormat="1">
      <c r="B29" s="23"/>
      <c r="C29" s="23"/>
      <c r="D29" s="23"/>
      <c r="E29" s="23"/>
      <c r="F29" s="23"/>
      <c r="G29" s="23"/>
      <c r="H29" s="23"/>
      <c r="I29" s="23"/>
      <c r="J29" s="23"/>
      <c r="K29" s="23"/>
      <c r="L29" s="23"/>
      <c r="M29" s="23"/>
      <c r="N29" s="23"/>
      <c r="O29" s="23"/>
      <c r="P29" s="23"/>
    </row>
    <row r="30" spans="2:16" s="77" customFormat="1">
      <c r="B30" s="23"/>
      <c r="C30" s="23"/>
      <c r="D30" s="23"/>
      <c r="E30" s="23"/>
      <c r="F30" s="23"/>
      <c r="G30" s="23"/>
      <c r="H30" s="23"/>
      <c r="I30" s="23"/>
      <c r="J30" s="23"/>
      <c r="K30" s="23"/>
      <c r="L30" s="23"/>
      <c r="M30" s="23"/>
      <c r="N30" s="23"/>
      <c r="O30" s="23"/>
      <c r="P30" s="23"/>
    </row>
    <row r="31" spans="2:16" s="77" customFormat="1">
      <c r="B31" s="23"/>
      <c r="C31" s="23"/>
      <c r="D31" s="23"/>
      <c r="E31" s="23"/>
      <c r="F31" s="23"/>
      <c r="G31" s="23"/>
      <c r="H31" s="23"/>
      <c r="I31" s="23"/>
      <c r="J31" s="23"/>
      <c r="K31" s="23"/>
      <c r="L31" s="23"/>
      <c r="M31" s="23"/>
      <c r="N31" s="23"/>
      <c r="O31" s="23"/>
      <c r="P31" s="23"/>
    </row>
    <row r="32" spans="2:16" s="77" customFormat="1">
      <c r="B32" s="23"/>
      <c r="C32" s="23"/>
      <c r="D32" s="23"/>
      <c r="E32" s="23"/>
      <c r="F32" s="23"/>
      <c r="G32" s="23"/>
      <c r="H32" s="23"/>
      <c r="I32" s="23"/>
      <c r="J32" s="23"/>
      <c r="K32" s="23"/>
      <c r="L32" s="23"/>
      <c r="M32" s="23"/>
      <c r="N32" s="23"/>
      <c r="O32" s="23"/>
      <c r="P32" s="23"/>
    </row>
    <row r="33" s="77" customFormat="1"/>
    <row r="34" s="77" customFormat="1"/>
    <row r="35" s="77" customFormat="1"/>
    <row r="36" s="77" customFormat="1"/>
    <row r="37" s="77" customFormat="1"/>
    <row r="38" s="77" customFormat="1"/>
  </sheetData>
  <mergeCells count="1">
    <mergeCell ref="A1:P1"/>
  </mergeCells>
  <printOptions horizontalCentered="1" verticalCentered="1"/>
  <pageMargins left="0.4" right="0.4" top="0.25" bottom="0.25" header="0.31496062992126" footer="0.31496062992126"/>
  <pageSetup scale="5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AY48"/>
  <sheetViews>
    <sheetView showGridLines="0" view="pageBreakPreview" zoomScale="55" zoomScaleNormal="100" zoomScaleSheetLayoutView="55" workbookViewId="0">
      <selection activeCell="N35" sqref="N35"/>
    </sheetView>
  </sheetViews>
  <sheetFormatPr baseColWidth="10" defaultColWidth="11.5703125" defaultRowHeight="15"/>
  <cols>
    <col min="1" max="1" width="15.5703125" style="77" customWidth="1"/>
    <col min="2" max="2" width="24.28515625" style="77" customWidth="1"/>
    <col min="3" max="3" width="14.140625" style="77" customWidth="1"/>
    <col min="4" max="4" width="20.28515625" style="77" customWidth="1"/>
    <col min="5" max="5" width="17.7109375" style="77" customWidth="1"/>
    <col min="6" max="6" width="20.5703125" style="77" customWidth="1"/>
    <col min="7" max="7" width="19.85546875" style="77" customWidth="1"/>
    <col min="8" max="8" width="13.140625" style="77" bestFit="1" customWidth="1"/>
    <col min="9" max="9" width="20" style="77" customWidth="1"/>
    <col min="10" max="10" width="14.28515625" style="77" bestFit="1" customWidth="1"/>
    <col min="11" max="11" width="27" style="77" customWidth="1"/>
    <col min="12" max="12" width="31.5703125" style="77" customWidth="1"/>
    <col min="13" max="13" width="22.140625" style="77" customWidth="1"/>
    <col min="14" max="16" width="19.5703125" style="77" customWidth="1"/>
    <col min="17" max="17" width="13.85546875" style="77" bestFit="1" customWidth="1"/>
    <col min="18" max="20" width="0" style="77" hidden="1" customWidth="1"/>
    <col min="21" max="41" width="11.5703125" style="77"/>
    <col min="42" max="44" width="15.140625" style="77" customWidth="1"/>
    <col min="45" max="45" width="20.85546875" style="77" customWidth="1"/>
    <col min="46" max="47" width="11.5703125" style="77"/>
    <col min="48" max="51" width="0" style="77" hidden="1" customWidth="1"/>
    <col min="52" max="16384" width="11.5703125" style="77"/>
  </cols>
  <sheetData>
    <row r="1" spans="1:51" ht="100.5" customHeight="1">
      <c r="A1" s="1909"/>
      <c r="B1" s="1909"/>
      <c r="C1" s="1909"/>
      <c r="D1" s="1909"/>
      <c r="E1" s="1909"/>
      <c r="F1" s="1909"/>
      <c r="G1" s="1909"/>
      <c r="H1" s="1909"/>
      <c r="I1" s="1909"/>
      <c r="J1" s="1909"/>
      <c r="K1" s="1909"/>
      <c r="L1" s="1909"/>
      <c r="M1" s="1909"/>
      <c r="N1" s="1799"/>
      <c r="O1" s="1799"/>
    </row>
    <row r="2" spans="1:51" ht="44.25" customHeight="1">
      <c r="A2" s="949" t="s">
        <v>129</v>
      </c>
      <c r="B2" s="1114" t="s">
        <v>605</v>
      </c>
      <c r="C2" s="1115" t="s">
        <v>44</v>
      </c>
      <c r="D2" s="1115" t="s">
        <v>130</v>
      </c>
      <c r="E2" s="1115" t="s">
        <v>145</v>
      </c>
      <c r="F2" s="1115" t="s">
        <v>77</v>
      </c>
      <c r="G2" s="1116" t="s">
        <v>146</v>
      </c>
      <c r="H2" s="19"/>
      <c r="M2" s="58"/>
      <c r="N2" s="952"/>
      <c r="O2" s="952"/>
      <c r="Q2" s="96"/>
      <c r="R2" s="96"/>
      <c r="S2" s="106"/>
      <c r="T2" s="106"/>
    </row>
    <row r="3" spans="1:51" ht="20.100000000000001" customHeight="1">
      <c r="A3" s="950" t="s">
        <v>131</v>
      </c>
      <c r="B3" s="951">
        <f>+D3+F3</f>
        <v>23743</v>
      </c>
      <c r="C3" s="1369">
        <f>+B3/$B$18</f>
        <v>1.3910957684159213E-2</v>
      </c>
      <c r="D3" s="952">
        <v>14054</v>
      </c>
      <c r="E3" s="1198">
        <f>D3/B3</f>
        <v>0.59192182959187967</v>
      </c>
      <c r="F3" s="952">
        <v>9689</v>
      </c>
      <c r="G3" s="1199">
        <f>+F3/B3</f>
        <v>0.40807817040812028</v>
      </c>
      <c r="H3" s="19"/>
      <c r="I3" s="1266"/>
      <c r="K3" s="193"/>
      <c r="M3" s="58"/>
      <c r="N3" s="1266"/>
      <c r="O3" s="1266"/>
      <c r="Q3" s="96"/>
      <c r="R3" s="96"/>
      <c r="S3" s="101"/>
      <c r="T3" s="101"/>
      <c r="AV3" s="1912" t="s">
        <v>128</v>
      </c>
      <c r="AW3" s="1913"/>
      <c r="AX3" s="1913"/>
    </row>
    <row r="4" spans="1:51" ht="20.100000000000001" customHeight="1">
      <c r="A4" s="950" t="s">
        <v>52</v>
      </c>
      <c r="B4" s="951">
        <f t="shared" ref="B4:B17" si="0">+D4+F4</f>
        <v>211342</v>
      </c>
      <c r="C4" s="1369">
        <f t="shared" ref="C4:C17" si="1">+B4/$B$18</f>
        <v>0.1238246901775503</v>
      </c>
      <c r="D4" s="952">
        <v>121723</v>
      </c>
      <c r="E4" s="1198">
        <f t="shared" ref="E4:E18" si="2">D4/B4</f>
        <v>0.5759527211817812</v>
      </c>
      <c r="F4" s="952">
        <v>89619</v>
      </c>
      <c r="G4" s="1199">
        <f t="shared" ref="G4:G18" si="3">+F4/B4</f>
        <v>0.4240472788182188</v>
      </c>
      <c r="H4" s="19"/>
      <c r="M4" s="58"/>
      <c r="N4" s="1262"/>
      <c r="O4" s="1262"/>
      <c r="P4" s="1262"/>
      <c r="Q4" s="62"/>
      <c r="R4" s="1263"/>
      <c r="S4" s="1263"/>
      <c r="T4" s="242"/>
      <c r="U4" s="1262"/>
      <c r="AV4" s="102" t="s">
        <v>129</v>
      </c>
      <c r="AW4" s="102" t="s">
        <v>130</v>
      </c>
      <c r="AX4" s="102" t="s">
        <v>77</v>
      </c>
    </row>
    <row r="5" spans="1:51" ht="20.100000000000001" customHeight="1">
      <c r="A5" s="950" t="s">
        <v>53</v>
      </c>
      <c r="B5" s="951">
        <f t="shared" si="0"/>
        <v>265407</v>
      </c>
      <c r="C5" s="1369">
        <f t="shared" si="1"/>
        <v>0.15550122335339445</v>
      </c>
      <c r="D5" s="952">
        <v>148742</v>
      </c>
      <c r="E5" s="1198">
        <f t="shared" si="2"/>
        <v>0.56042983041140593</v>
      </c>
      <c r="F5" s="952">
        <v>116665</v>
      </c>
      <c r="G5" s="1199">
        <f t="shared" si="3"/>
        <v>0.43957016958859413</v>
      </c>
      <c r="H5" s="19"/>
      <c r="M5" s="58"/>
      <c r="N5" s="1264"/>
      <c r="O5" s="1264"/>
      <c r="P5" s="1268"/>
      <c r="Q5" s="1262"/>
      <c r="R5" s="1263"/>
      <c r="S5" s="1263"/>
      <c r="T5" s="242"/>
      <c r="U5" s="1262"/>
      <c r="AV5" s="103" t="s">
        <v>131</v>
      </c>
      <c r="AW5" s="63">
        <v>13968</v>
      </c>
      <c r="AX5" s="63">
        <f>8829*-1</f>
        <v>-8829</v>
      </c>
    </row>
    <row r="6" spans="1:51" ht="20.100000000000001" customHeight="1">
      <c r="A6" s="950" t="s">
        <v>54</v>
      </c>
      <c r="B6" s="951">
        <f t="shared" si="0"/>
        <v>253371</v>
      </c>
      <c r="C6" s="1369">
        <f t="shared" si="1"/>
        <v>0.14844936441869622</v>
      </c>
      <c r="D6" s="952">
        <v>137688</v>
      </c>
      <c r="E6" s="1198">
        <f t="shared" si="2"/>
        <v>0.54342446452040682</v>
      </c>
      <c r="F6" s="952">
        <v>115683</v>
      </c>
      <c r="G6" s="1199">
        <f t="shared" si="3"/>
        <v>0.45657553547959318</v>
      </c>
      <c r="H6" s="19"/>
      <c r="L6" s="182"/>
      <c r="M6" s="58"/>
      <c r="N6" s="1264"/>
      <c r="O6" s="1264"/>
      <c r="P6" s="62"/>
      <c r="Q6" s="1262"/>
      <c r="R6" s="1263"/>
      <c r="S6" s="1263"/>
      <c r="T6" s="242"/>
      <c r="U6" s="1262"/>
      <c r="AV6" s="103" t="s">
        <v>52</v>
      </c>
      <c r="AW6" s="63">
        <v>94691</v>
      </c>
      <c r="AX6" s="63">
        <f>65301*-1</f>
        <v>-65301</v>
      </c>
    </row>
    <row r="7" spans="1:51" ht="20.100000000000001" customHeight="1">
      <c r="A7" s="950" t="s">
        <v>55</v>
      </c>
      <c r="B7" s="951">
        <f t="shared" si="0"/>
        <v>232424</v>
      </c>
      <c r="C7" s="1369">
        <f t="shared" si="1"/>
        <v>0.13617657536044397</v>
      </c>
      <c r="D7" s="952">
        <v>123875</v>
      </c>
      <c r="E7" s="1198">
        <f t="shared" si="2"/>
        <v>0.53296991704815333</v>
      </c>
      <c r="F7" s="952">
        <v>108549</v>
      </c>
      <c r="G7" s="1199">
        <f t="shared" si="3"/>
        <v>0.46703008295184661</v>
      </c>
      <c r="H7" s="19"/>
      <c r="I7" s="1266"/>
      <c r="M7" s="58"/>
      <c r="N7" s="1264"/>
      <c r="O7" s="1264"/>
      <c r="P7" s="62"/>
      <c r="Q7" s="1262"/>
      <c r="R7" s="1263"/>
      <c r="S7" s="1263"/>
      <c r="T7" s="242"/>
      <c r="U7" s="1262"/>
      <c r="AV7" s="103" t="s">
        <v>53</v>
      </c>
      <c r="AW7" s="63">
        <v>114856</v>
      </c>
      <c r="AX7" s="63">
        <v>-87226</v>
      </c>
      <c r="AY7" s="63" t="e">
        <f t="shared" ref="AY7:AY19" si="4">AX7*$C$26</f>
        <v>#VALUE!</v>
      </c>
    </row>
    <row r="8" spans="1:51" ht="20.100000000000001" customHeight="1">
      <c r="A8" s="950" t="s">
        <v>56</v>
      </c>
      <c r="B8" s="951">
        <f t="shared" si="0"/>
        <v>196505</v>
      </c>
      <c r="C8" s="1369">
        <f t="shared" si="1"/>
        <v>0.11513173313084725</v>
      </c>
      <c r="D8" s="952">
        <v>104653</v>
      </c>
      <c r="E8" s="1198">
        <f t="shared" si="2"/>
        <v>0.53257169028777895</v>
      </c>
      <c r="F8" s="952">
        <v>91852</v>
      </c>
      <c r="G8" s="1199">
        <f t="shared" si="3"/>
        <v>0.46742830971222105</v>
      </c>
      <c r="H8" s="19"/>
      <c r="I8" s="1266"/>
      <c r="M8" s="58"/>
      <c r="N8" s="1264"/>
      <c r="O8" s="1264"/>
      <c r="P8" s="1269"/>
      <c r="Q8" s="1270"/>
      <c r="R8" s="1263"/>
      <c r="S8" s="1263"/>
      <c r="T8" s="242"/>
      <c r="U8" s="1262"/>
      <c r="AV8" s="103" t="s">
        <v>54</v>
      </c>
      <c r="AW8" s="63">
        <v>110599</v>
      </c>
      <c r="AX8" s="63">
        <v>-88163</v>
      </c>
      <c r="AY8" s="63" t="e">
        <f t="shared" si="4"/>
        <v>#VALUE!</v>
      </c>
    </row>
    <row r="9" spans="1:51" ht="20.100000000000001" customHeight="1">
      <c r="A9" s="950" t="s">
        <v>57</v>
      </c>
      <c r="B9" s="951">
        <f t="shared" si="0"/>
        <v>169767</v>
      </c>
      <c r="C9" s="1369">
        <f t="shared" si="1"/>
        <v>9.9466013274087411E-2</v>
      </c>
      <c r="D9" s="952">
        <v>91028</v>
      </c>
      <c r="E9" s="1198">
        <f t="shared" si="2"/>
        <v>0.53619372433983048</v>
      </c>
      <c r="F9" s="952">
        <v>78739</v>
      </c>
      <c r="G9" s="1199">
        <f t="shared" si="3"/>
        <v>0.46380627566016952</v>
      </c>
      <c r="H9" s="19"/>
      <c r="I9" s="1266"/>
      <c r="M9" s="58"/>
      <c r="N9" s="1264"/>
      <c r="O9" s="1264"/>
      <c r="P9" s="62"/>
      <c r="Q9" s="1262"/>
      <c r="R9" s="1263"/>
      <c r="S9" s="1263"/>
      <c r="T9" s="242"/>
      <c r="U9" s="1262"/>
      <c r="AV9" s="103" t="s">
        <v>55</v>
      </c>
      <c r="AW9" s="63">
        <v>94068</v>
      </c>
      <c r="AX9" s="63">
        <v>-78209</v>
      </c>
      <c r="AY9" s="63" t="e">
        <f t="shared" si="4"/>
        <v>#VALUE!</v>
      </c>
    </row>
    <row r="10" spans="1:51" ht="20.100000000000001" customHeight="1">
      <c r="A10" s="950" t="s">
        <v>58</v>
      </c>
      <c r="B10" s="951">
        <f t="shared" si="0"/>
        <v>133110</v>
      </c>
      <c r="C10" s="1369">
        <f t="shared" si="1"/>
        <v>7.7988778896450867E-2</v>
      </c>
      <c r="D10" s="952">
        <v>73382</v>
      </c>
      <c r="E10" s="1198">
        <f t="shared" si="2"/>
        <v>0.55128840808353996</v>
      </c>
      <c r="F10" s="952">
        <v>59728</v>
      </c>
      <c r="G10" s="1199">
        <f t="shared" si="3"/>
        <v>0.4487115919164601</v>
      </c>
      <c r="H10" s="19"/>
      <c r="I10" s="1266"/>
      <c r="M10" s="58"/>
      <c r="N10" s="1264"/>
      <c r="O10" s="1264"/>
      <c r="P10" s="62"/>
      <c r="Q10" s="1262"/>
      <c r="R10" s="1263"/>
      <c r="S10" s="1263"/>
      <c r="T10" s="242"/>
      <c r="U10" s="1262"/>
      <c r="AV10" s="103" t="s">
        <v>56</v>
      </c>
      <c r="AW10" s="63">
        <v>82896</v>
      </c>
      <c r="AX10" s="63">
        <v>-70646</v>
      </c>
      <c r="AY10" s="63" t="e">
        <f t="shared" si="4"/>
        <v>#VALUE!</v>
      </c>
    </row>
    <row r="11" spans="1:51" ht="20.100000000000001" customHeight="1">
      <c r="A11" s="950" t="s">
        <v>59</v>
      </c>
      <c r="B11" s="951">
        <f t="shared" si="0"/>
        <v>95277</v>
      </c>
      <c r="C11" s="1369">
        <f t="shared" si="1"/>
        <v>5.5822529388604533E-2</v>
      </c>
      <c r="D11" s="952">
        <v>55127</v>
      </c>
      <c r="E11" s="1198">
        <f t="shared" si="2"/>
        <v>0.57859714306705712</v>
      </c>
      <c r="F11" s="952">
        <v>40150</v>
      </c>
      <c r="G11" s="1199">
        <f t="shared" si="3"/>
        <v>0.42140285693294288</v>
      </c>
      <c r="H11" s="19"/>
      <c r="I11" s="1266"/>
      <c r="M11" s="58"/>
      <c r="N11" s="1264"/>
      <c r="O11" s="1264"/>
      <c r="P11" s="62"/>
      <c r="Q11" s="1262"/>
      <c r="R11" s="1263"/>
      <c r="S11" s="1263"/>
      <c r="T11" s="242"/>
      <c r="U11" s="1262"/>
      <c r="AV11" s="103" t="s">
        <v>57</v>
      </c>
      <c r="AW11" s="63">
        <v>68381</v>
      </c>
      <c r="AX11" s="63">
        <v>-56998</v>
      </c>
      <c r="AY11" s="63" t="e">
        <f t="shared" si="4"/>
        <v>#VALUE!</v>
      </c>
    </row>
    <row r="12" spans="1:51" ht="20.100000000000001" customHeight="1">
      <c r="A12" s="950" t="s">
        <v>60</v>
      </c>
      <c r="B12" s="951">
        <f t="shared" si="0"/>
        <v>60506</v>
      </c>
      <c r="C12" s="1369">
        <f t="shared" si="1"/>
        <v>3.5450297167069766E-2</v>
      </c>
      <c r="D12" s="952">
        <v>36866</v>
      </c>
      <c r="E12" s="1198">
        <f t="shared" si="2"/>
        <v>0.60929494595577294</v>
      </c>
      <c r="F12" s="952">
        <v>23640</v>
      </c>
      <c r="G12" s="1199">
        <f t="shared" si="3"/>
        <v>0.39070505404422701</v>
      </c>
      <c r="H12" s="19"/>
      <c r="I12" s="1266"/>
      <c r="M12" s="58"/>
      <c r="N12" s="1264"/>
      <c r="O12" s="1264"/>
      <c r="P12" s="62"/>
      <c r="Q12" s="1262"/>
      <c r="R12" s="1263"/>
      <c r="S12" s="1263"/>
      <c r="T12" s="242"/>
      <c r="U12" s="1262"/>
      <c r="AV12" s="103" t="s">
        <v>58</v>
      </c>
      <c r="AW12" s="63">
        <v>53231</v>
      </c>
      <c r="AX12" s="63">
        <v>-40454</v>
      </c>
      <c r="AY12" s="63" t="e">
        <f t="shared" si="4"/>
        <v>#VALUE!</v>
      </c>
    </row>
    <row r="13" spans="1:51" ht="20.100000000000001" customHeight="1">
      <c r="A13" s="950" t="s">
        <v>132</v>
      </c>
      <c r="B13" s="951">
        <f t="shared" si="0"/>
        <v>33343</v>
      </c>
      <c r="C13" s="1369">
        <f t="shared" si="1"/>
        <v>1.9535570991994301E-2</v>
      </c>
      <c r="D13" s="952">
        <v>21512</v>
      </c>
      <c r="E13" s="1198">
        <f t="shared" si="2"/>
        <v>0.64517289985904092</v>
      </c>
      <c r="F13" s="952">
        <v>11831</v>
      </c>
      <c r="G13" s="1199">
        <f t="shared" si="3"/>
        <v>0.35482710014095914</v>
      </c>
      <c r="H13" s="19"/>
      <c r="I13" s="1266"/>
      <c r="L13" s="94"/>
      <c r="M13" s="58"/>
      <c r="N13" s="1264"/>
      <c r="O13" s="1264"/>
      <c r="P13" s="62"/>
      <c r="Q13" s="1262"/>
      <c r="R13" s="1263"/>
      <c r="S13" s="1263"/>
      <c r="T13" s="242"/>
      <c r="U13" s="1262"/>
      <c r="AV13" s="103" t="s">
        <v>59</v>
      </c>
      <c r="AW13" s="63">
        <v>39299</v>
      </c>
      <c r="AX13" s="63">
        <v>-25509</v>
      </c>
      <c r="AY13" s="63" t="e">
        <f t="shared" si="4"/>
        <v>#VALUE!</v>
      </c>
    </row>
    <row r="14" spans="1:51" ht="20.100000000000001" customHeight="1">
      <c r="A14" s="950" t="s">
        <v>133</v>
      </c>
      <c r="B14" s="951">
        <f t="shared" si="0"/>
        <v>16184</v>
      </c>
      <c r="C14" s="1369">
        <f t="shared" si="1"/>
        <v>9.4821606014586501E-3</v>
      </c>
      <c r="D14" s="952">
        <v>10850</v>
      </c>
      <c r="E14" s="1198">
        <f t="shared" si="2"/>
        <v>0.67041522491349481</v>
      </c>
      <c r="F14" s="952">
        <v>5334</v>
      </c>
      <c r="G14" s="1199">
        <f t="shared" si="3"/>
        <v>0.32958477508650519</v>
      </c>
      <c r="H14" s="19"/>
      <c r="I14" s="1266"/>
      <c r="L14" s="94"/>
      <c r="M14" s="58"/>
      <c r="N14" s="1264"/>
      <c r="O14" s="1264"/>
      <c r="P14" s="62"/>
      <c r="Q14" s="1262"/>
      <c r="R14" s="1263"/>
      <c r="S14" s="1263"/>
      <c r="T14" s="242"/>
      <c r="U14" s="1262"/>
      <c r="AV14" s="103" t="s">
        <v>60</v>
      </c>
      <c r="AW14" s="63">
        <v>25049</v>
      </c>
      <c r="AX14" s="63">
        <v>-13161</v>
      </c>
      <c r="AY14" s="63" t="e">
        <f t="shared" si="4"/>
        <v>#VALUE!</v>
      </c>
    </row>
    <row r="15" spans="1:51" ht="20.100000000000001" customHeight="1">
      <c r="A15" s="950" t="s">
        <v>134</v>
      </c>
      <c r="B15" s="951">
        <f t="shared" si="0"/>
        <v>8901</v>
      </c>
      <c r="C15" s="1369">
        <f t="shared" si="1"/>
        <v>5.2150711513583442E-3</v>
      </c>
      <c r="D15" s="952">
        <v>6021</v>
      </c>
      <c r="E15" s="1198">
        <f t="shared" si="2"/>
        <v>0.67644084934277049</v>
      </c>
      <c r="F15" s="952">
        <v>2880</v>
      </c>
      <c r="G15" s="1199">
        <f t="shared" si="3"/>
        <v>0.32355915065722951</v>
      </c>
      <c r="H15" s="19"/>
      <c r="I15" s="1266"/>
      <c r="L15" s="94"/>
      <c r="M15" s="58"/>
      <c r="N15" s="1264"/>
      <c r="O15" s="1264"/>
      <c r="P15" s="62"/>
      <c r="Q15" s="1262"/>
      <c r="R15" s="1263"/>
      <c r="S15" s="1263"/>
      <c r="T15" s="242"/>
      <c r="U15" s="1262"/>
      <c r="AV15" s="103" t="s">
        <v>132</v>
      </c>
      <c r="AW15" s="63">
        <v>13405</v>
      </c>
      <c r="AX15" s="63">
        <v>-5601</v>
      </c>
      <c r="AY15" s="63" t="e">
        <f t="shared" si="4"/>
        <v>#VALUE!</v>
      </c>
    </row>
    <row r="16" spans="1:51" ht="20.100000000000001" customHeight="1">
      <c r="A16" s="950" t="s">
        <v>135</v>
      </c>
      <c r="B16" s="951">
        <f t="shared" si="0"/>
        <v>4197</v>
      </c>
      <c r="C16" s="1369">
        <f t="shared" si="1"/>
        <v>2.4590106305191518E-3</v>
      </c>
      <c r="D16" s="952">
        <v>2812</v>
      </c>
      <c r="E16" s="1198">
        <f t="shared" si="2"/>
        <v>0.67000238265427692</v>
      </c>
      <c r="F16" s="952">
        <v>1385</v>
      </c>
      <c r="G16" s="1199">
        <f t="shared" si="3"/>
        <v>0.32999761734572314</v>
      </c>
      <c r="H16" s="19"/>
      <c r="I16" s="1266"/>
      <c r="L16" s="94"/>
      <c r="M16" s="39"/>
      <c r="N16" s="1264"/>
      <c r="O16" s="1264"/>
      <c r="P16" s="62"/>
      <c r="Q16" s="1262"/>
      <c r="R16" s="1263"/>
      <c r="S16" s="1263"/>
      <c r="T16" s="242"/>
      <c r="U16" s="1262"/>
      <c r="AV16" s="103" t="s">
        <v>133</v>
      </c>
      <c r="AW16" s="63">
        <v>7875</v>
      </c>
      <c r="AX16" s="63">
        <v>-2898</v>
      </c>
      <c r="AY16" s="63" t="e">
        <f t="shared" si="4"/>
        <v>#VALUE!</v>
      </c>
    </row>
    <row r="17" spans="1:51" ht="20.100000000000001" customHeight="1">
      <c r="A17" s="950" t="s">
        <v>136</v>
      </c>
      <c r="B17" s="951">
        <f t="shared" si="0"/>
        <v>2707</v>
      </c>
      <c r="C17" s="1369">
        <f t="shared" si="1"/>
        <v>1.5860237733655812E-3</v>
      </c>
      <c r="D17" s="952">
        <v>1828</v>
      </c>
      <c r="E17" s="1198">
        <f t="shared" si="2"/>
        <v>0.67528629479128188</v>
      </c>
      <c r="F17" s="952">
        <v>879</v>
      </c>
      <c r="G17" s="1199">
        <f t="shared" si="3"/>
        <v>0.32471370520871812</v>
      </c>
      <c r="H17" s="19"/>
      <c r="I17" s="1266"/>
      <c r="L17" s="94"/>
      <c r="M17" s="39"/>
      <c r="N17" s="1264"/>
      <c r="O17" s="1264"/>
      <c r="P17" s="62"/>
      <c r="Q17" s="1262"/>
      <c r="R17" s="1263"/>
      <c r="S17" s="1263"/>
      <c r="T17" s="1265"/>
      <c r="U17" s="1262"/>
      <c r="AV17" s="103" t="s">
        <v>134</v>
      </c>
      <c r="AW17" s="63">
        <v>3939</v>
      </c>
      <c r="AX17" s="63">
        <v>-1434</v>
      </c>
      <c r="AY17" s="63" t="e">
        <f t="shared" si="4"/>
        <v>#VALUE!</v>
      </c>
    </row>
    <row r="18" spans="1:51" ht="23.25" customHeight="1">
      <c r="A18" s="953" t="s">
        <v>23</v>
      </c>
      <c r="B18" s="1077">
        <f>SUM(B3:B17)</f>
        <v>1706784</v>
      </c>
      <c r="C18" s="954"/>
      <c r="D18" s="954">
        <f>SUM(D3:D17)</f>
        <v>950161</v>
      </c>
      <c r="E18" s="1200">
        <f t="shared" si="2"/>
        <v>0.55669668804019723</v>
      </c>
      <c r="F18" s="954">
        <f>SUM(F3:F17)</f>
        <v>756623</v>
      </c>
      <c r="G18" s="1201">
        <f t="shared" si="3"/>
        <v>0.44330331195980277</v>
      </c>
      <c r="H18" s="19"/>
      <c r="I18" s="61"/>
      <c r="J18" s="61"/>
      <c r="L18" s="94"/>
      <c r="N18" s="1264"/>
      <c r="O18" s="1264"/>
      <c r="P18" s="1263"/>
      <c r="Q18" s="1262"/>
      <c r="R18" s="1263"/>
      <c r="S18" s="1263"/>
      <c r="T18" s="1262"/>
      <c r="U18" s="1262"/>
      <c r="AV18" s="103" t="s">
        <v>135</v>
      </c>
      <c r="AW18" s="63">
        <v>1841</v>
      </c>
      <c r="AX18" s="63">
        <v>-673</v>
      </c>
      <c r="AY18" s="63" t="e">
        <f t="shared" si="4"/>
        <v>#VALUE!</v>
      </c>
    </row>
    <row r="19" spans="1:51" ht="21">
      <c r="A19" s="23"/>
      <c r="B19" s="23"/>
      <c r="C19" s="23"/>
      <c r="D19" s="23"/>
      <c r="E19" s="23"/>
      <c r="F19" s="23"/>
      <c r="G19" s="23"/>
      <c r="H19" s="23"/>
      <c r="I19" s="61"/>
      <c r="J19" s="60"/>
      <c r="L19" s="59"/>
      <c r="M19" s="39"/>
      <c r="N19" s="1264"/>
      <c r="O19" s="1264"/>
      <c r="P19" s="1263"/>
      <c r="Q19" s="1262"/>
      <c r="R19" s="1263"/>
      <c r="S19" s="1263"/>
      <c r="T19" s="1262"/>
      <c r="U19" s="1262"/>
      <c r="AV19" s="103" t="s">
        <v>136</v>
      </c>
      <c r="AW19" s="63">
        <v>855</v>
      </c>
      <c r="AX19" s="63">
        <v>-303</v>
      </c>
      <c r="AY19" s="63" t="e">
        <f t="shared" si="4"/>
        <v>#VALUE!</v>
      </c>
    </row>
    <row r="20" spans="1:51" ht="21">
      <c r="B20" s="23"/>
      <c r="C20" s="23"/>
      <c r="D20" s="23"/>
      <c r="E20" s="23"/>
      <c r="F20" s="23"/>
      <c r="G20" s="23"/>
      <c r="H20" s="23"/>
      <c r="I20" s="61"/>
      <c r="J20" s="38"/>
      <c r="L20" s="38"/>
      <c r="M20" s="38"/>
      <c r="N20" s="1264"/>
      <c r="O20" s="1262"/>
      <c r="P20" s="1262"/>
      <c r="Q20" s="1262"/>
      <c r="R20" s="1262"/>
      <c r="S20" s="1262"/>
      <c r="T20" s="1262"/>
      <c r="U20" s="1262"/>
      <c r="AV20" s="103" t="s">
        <v>23</v>
      </c>
      <c r="AW20" s="64">
        <f>SUM(AW5:AW19)</f>
        <v>724953</v>
      </c>
      <c r="AX20" s="64">
        <f>SUM(AX5:AX19)</f>
        <v>-545405</v>
      </c>
    </row>
    <row r="21" spans="1:51" ht="21">
      <c r="B21" s="23"/>
      <c r="C21" s="23"/>
      <c r="D21" s="23"/>
      <c r="E21" s="23"/>
      <c r="F21" s="23"/>
      <c r="G21" s="23"/>
      <c r="H21" s="23"/>
      <c r="I21" s="23"/>
      <c r="J21" s="23"/>
      <c r="L21" s="23"/>
      <c r="M21" s="23"/>
      <c r="N21" s="1266"/>
      <c r="O21" s="1266"/>
      <c r="P21" s="62"/>
      <c r="Q21" s="1262"/>
      <c r="R21" s="1262"/>
      <c r="S21" s="1262"/>
      <c r="T21" s="1262"/>
      <c r="U21" s="1262"/>
    </row>
    <row r="22" spans="1:51" ht="21">
      <c r="B22" s="23"/>
      <c r="C22" s="23"/>
      <c r="D22" s="23"/>
      <c r="E22" s="23"/>
      <c r="F22" s="23"/>
      <c r="G22" s="23"/>
      <c r="H22" s="23"/>
      <c r="I22" s="23"/>
      <c r="J22" s="23"/>
      <c r="K22" s="23"/>
      <c r="L22" s="23"/>
      <c r="M22" s="23"/>
      <c r="N22" s="1267"/>
      <c r="O22" s="1267"/>
      <c r="P22" s="62"/>
      <c r="Q22" s="1262"/>
      <c r="R22" s="1262"/>
      <c r="S22" s="1262"/>
      <c r="T22" s="1262"/>
      <c r="U22" s="1262"/>
    </row>
    <row r="23" spans="1:51" ht="21">
      <c r="B23" s="23"/>
      <c r="C23" s="1910" t="s">
        <v>129</v>
      </c>
      <c r="F23" s="23"/>
      <c r="G23" s="23"/>
      <c r="H23" s="23"/>
      <c r="I23" s="23"/>
      <c r="J23" s="23"/>
      <c r="K23" s="23"/>
      <c r="L23" s="23"/>
      <c r="M23" s="23"/>
      <c r="N23" s="1266"/>
      <c r="O23" s="1266"/>
      <c r="P23" s="62"/>
      <c r="Q23" s="1263"/>
      <c r="R23" s="1262"/>
      <c r="S23" s="1262"/>
      <c r="T23" s="1262"/>
      <c r="U23" s="1262"/>
    </row>
    <row r="24" spans="1:51" ht="21">
      <c r="B24" s="23"/>
      <c r="C24" s="1911"/>
      <c r="D24" s="137" t="s">
        <v>77</v>
      </c>
      <c r="E24" s="207" t="s">
        <v>130</v>
      </c>
      <c r="F24" s="23"/>
      <c r="G24" s="23"/>
      <c r="H24" s="23"/>
      <c r="I24" s="23"/>
      <c r="J24" s="23"/>
      <c r="K24" s="23"/>
      <c r="L24" s="23"/>
      <c r="M24" s="23"/>
      <c r="N24" s="1266"/>
      <c r="O24" s="1266"/>
      <c r="P24" s="62"/>
      <c r="Q24" s="1262"/>
      <c r="R24" s="1262"/>
      <c r="S24" s="1262"/>
      <c r="T24" s="1262"/>
      <c r="U24" s="1262"/>
    </row>
    <row r="25" spans="1:51" ht="21">
      <c r="B25" s="23"/>
      <c r="C25" s="145" t="s">
        <v>131</v>
      </c>
      <c r="D25" s="140">
        <f t="shared" ref="D25:D39" si="5">F3*-1</f>
        <v>-9689</v>
      </c>
      <c r="E25" s="138">
        <f t="shared" ref="E25:E39" si="6">+D3</f>
        <v>14054</v>
      </c>
      <c r="F25" s="23"/>
      <c r="G25" s="23"/>
      <c r="H25" s="23"/>
      <c r="I25" s="23"/>
      <c r="J25" s="23"/>
      <c r="K25" s="23"/>
      <c r="L25" s="23"/>
      <c r="M25" s="23"/>
      <c r="N25" s="1261"/>
      <c r="O25" s="1266"/>
      <c r="P25" s="1262"/>
      <c r="Q25" s="1263"/>
      <c r="R25" s="1263"/>
      <c r="S25" s="1262"/>
      <c r="T25" s="1262"/>
      <c r="U25" s="1262"/>
    </row>
    <row r="26" spans="1:51" ht="21">
      <c r="B26" s="23"/>
      <c r="C26" s="145" t="s">
        <v>52</v>
      </c>
      <c r="D26" s="140">
        <f t="shared" si="5"/>
        <v>-89619</v>
      </c>
      <c r="E26" s="138">
        <f t="shared" si="6"/>
        <v>121723</v>
      </c>
      <c r="F26" s="23"/>
      <c r="G26" s="23"/>
      <c r="H26" s="23"/>
      <c r="I26" s="23"/>
      <c r="J26" s="23"/>
      <c r="K26" s="23"/>
      <c r="L26" s="23"/>
      <c r="M26" s="23"/>
      <c r="N26" s="1263"/>
      <c r="O26" s="1266"/>
      <c r="P26" s="1262"/>
      <c r="Q26" s="1263"/>
      <c r="R26" s="1263"/>
      <c r="S26" s="1262"/>
      <c r="T26" s="1262"/>
      <c r="U26" s="1262"/>
    </row>
    <row r="27" spans="1:51" ht="21">
      <c r="B27" s="23"/>
      <c r="C27" s="145" t="s">
        <v>53</v>
      </c>
      <c r="D27" s="140">
        <f t="shared" si="5"/>
        <v>-116665</v>
      </c>
      <c r="E27" s="138">
        <f t="shared" si="6"/>
        <v>148742</v>
      </c>
      <c r="F27" s="23"/>
      <c r="G27" s="23"/>
      <c r="H27" s="23"/>
      <c r="I27" s="23"/>
      <c r="J27" s="23"/>
      <c r="K27" s="23"/>
      <c r="L27" s="23"/>
      <c r="M27" s="23"/>
      <c r="N27" s="165"/>
      <c r="O27" s="165"/>
      <c r="P27" s="1262"/>
      <c r="Q27" s="1263"/>
      <c r="R27" s="1263"/>
      <c r="S27" s="1262"/>
      <c r="T27" s="1262"/>
      <c r="U27" s="1262"/>
    </row>
    <row r="28" spans="1:51" ht="21">
      <c r="B28" s="23"/>
      <c r="C28" s="145" t="s">
        <v>54</v>
      </c>
      <c r="D28" s="140">
        <f t="shared" si="5"/>
        <v>-115683</v>
      </c>
      <c r="E28" s="138">
        <f t="shared" si="6"/>
        <v>137688</v>
      </c>
      <c r="F28" s="23"/>
      <c r="G28" s="23"/>
      <c r="H28" s="23"/>
      <c r="I28" s="23"/>
      <c r="J28" s="23"/>
      <c r="K28" s="23"/>
      <c r="L28" s="23"/>
      <c r="M28" s="23"/>
      <c r="N28" s="165"/>
      <c r="O28" s="165"/>
      <c r="P28" s="1262"/>
      <c r="Q28" s="1263"/>
      <c r="R28" s="1263"/>
      <c r="S28" s="1262"/>
      <c r="T28" s="1262"/>
      <c r="U28" s="1262"/>
    </row>
    <row r="29" spans="1:51" ht="15.75">
      <c r="B29" s="23"/>
      <c r="C29" s="145" t="s">
        <v>55</v>
      </c>
      <c r="D29" s="140">
        <f t="shared" si="5"/>
        <v>-108549</v>
      </c>
      <c r="E29" s="138">
        <f t="shared" si="6"/>
        <v>123875</v>
      </c>
      <c r="F29" s="23"/>
      <c r="G29" s="23"/>
      <c r="H29" s="23"/>
      <c r="I29" s="23"/>
      <c r="J29" s="23"/>
      <c r="K29" s="23"/>
      <c r="L29" s="23"/>
      <c r="M29" s="23"/>
      <c r="N29" s="182"/>
      <c r="O29" s="165"/>
      <c r="Q29" s="61"/>
      <c r="R29" s="61"/>
    </row>
    <row r="30" spans="1:51" ht="15.75">
      <c r="B30" s="23"/>
      <c r="C30" s="145" t="s">
        <v>56</v>
      </c>
      <c r="D30" s="140">
        <f t="shared" si="5"/>
        <v>-91852</v>
      </c>
      <c r="E30" s="138">
        <f t="shared" si="6"/>
        <v>104653</v>
      </c>
      <c r="F30" s="23"/>
      <c r="G30" s="23"/>
      <c r="H30" s="23"/>
      <c r="I30" s="23"/>
      <c r="J30" s="23"/>
      <c r="K30" s="23"/>
      <c r="L30" s="23"/>
      <c r="M30" s="23"/>
      <c r="N30" s="182"/>
      <c r="O30" s="165"/>
      <c r="Q30" s="61"/>
      <c r="R30" s="61"/>
    </row>
    <row r="31" spans="1:51" ht="15.75">
      <c r="B31" s="23"/>
      <c r="C31" s="145" t="s">
        <v>57</v>
      </c>
      <c r="D31" s="140">
        <f t="shared" si="5"/>
        <v>-78739</v>
      </c>
      <c r="E31" s="138">
        <f t="shared" si="6"/>
        <v>91028</v>
      </c>
      <c r="F31" s="23"/>
      <c r="G31" s="23"/>
      <c r="H31" s="23"/>
      <c r="I31" s="23"/>
      <c r="J31" s="23"/>
      <c r="K31" s="23"/>
      <c r="L31" s="23"/>
      <c r="M31" s="23"/>
      <c r="N31" s="182"/>
      <c r="O31" s="165"/>
      <c r="Q31" s="61"/>
      <c r="R31" s="61"/>
    </row>
    <row r="32" spans="1:51" ht="15.75">
      <c r="B32" s="23"/>
      <c r="C32" s="145" t="s">
        <v>58</v>
      </c>
      <c r="D32" s="140">
        <f t="shared" si="5"/>
        <v>-59728</v>
      </c>
      <c r="E32" s="138">
        <f t="shared" si="6"/>
        <v>73382</v>
      </c>
      <c r="F32" s="23"/>
      <c r="G32" s="23"/>
      <c r="H32" s="23"/>
      <c r="I32" s="23"/>
      <c r="J32" s="23"/>
      <c r="K32" s="23"/>
      <c r="L32" s="23"/>
      <c r="M32" s="23"/>
      <c r="N32" s="182"/>
      <c r="O32" s="165"/>
      <c r="Q32" s="61"/>
      <c r="R32" s="61"/>
    </row>
    <row r="33" spans="2:44" ht="15.75">
      <c r="B33" s="23"/>
      <c r="C33" s="145" t="s">
        <v>59</v>
      </c>
      <c r="D33" s="140">
        <f t="shared" si="5"/>
        <v>-40150</v>
      </c>
      <c r="E33" s="138">
        <f t="shared" si="6"/>
        <v>55127</v>
      </c>
      <c r="F33" s="23"/>
      <c r="G33" s="23"/>
      <c r="H33" s="23"/>
      <c r="I33" s="23"/>
      <c r="J33" s="23"/>
      <c r="K33" s="23"/>
      <c r="L33" s="23"/>
      <c r="M33" s="23"/>
      <c r="N33" s="182"/>
      <c r="O33" s="165"/>
      <c r="Q33" s="61"/>
      <c r="R33" s="61"/>
    </row>
    <row r="34" spans="2:44" ht="15.75">
      <c r="B34" s="23"/>
      <c r="C34" s="145" t="s">
        <v>60</v>
      </c>
      <c r="D34" s="140">
        <f t="shared" si="5"/>
        <v>-23640</v>
      </c>
      <c r="E34" s="138">
        <f t="shared" si="6"/>
        <v>36866</v>
      </c>
      <c r="F34" s="23"/>
      <c r="G34" s="23"/>
      <c r="H34" s="23"/>
      <c r="I34" s="23"/>
      <c r="J34" s="23"/>
      <c r="K34" s="23"/>
      <c r="L34" s="23"/>
      <c r="M34" s="23"/>
      <c r="N34" s="165"/>
      <c r="O34" s="165"/>
      <c r="P34" s="165"/>
      <c r="Q34" s="61"/>
      <c r="R34" s="61"/>
      <c r="U34" s="61"/>
      <c r="V34" s="61"/>
      <c r="W34" s="61"/>
      <c r="X34" s="61"/>
      <c r="Y34" s="61"/>
      <c r="Z34" s="61"/>
      <c r="AA34" s="61"/>
      <c r="AB34" s="61"/>
      <c r="AC34" s="61"/>
      <c r="AD34" s="61"/>
      <c r="AE34" s="61"/>
      <c r="AF34" s="61"/>
      <c r="AG34" s="61"/>
      <c r="AH34" s="61"/>
      <c r="AI34" s="61"/>
      <c r="AJ34" s="61"/>
      <c r="AK34" s="61"/>
      <c r="AL34" s="61"/>
      <c r="AM34" s="61"/>
      <c r="AN34" s="61"/>
      <c r="AO34" s="61"/>
      <c r="AP34" s="61"/>
      <c r="AQ34" s="24"/>
      <c r="AR34" s="24"/>
    </row>
    <row r="35" spans="2:44" ht="15.75">
      <c r="B35" s="23"/>
      <c r="C35" s="145" t="s">
        <v>132</v>
      </c>
      <c r="D35" s="140">
        <f t="shared" si="5"/>
        <v>-11831</v>
      </c>
      <c r="E35" s="138">
        <f t="shared" si="6"/>
        <v>21512</v>
      </c>
      <c r="F35" s="23"/>
      <c r="G35" s="23"/>
      <c r="H35" s="23"/>
      <c r="I35" s="23"/>
      <c r="J35" s="23"/>
      <c r="K35" s="23"/>
      <c r="L35" s="23"/>
      <c r="M35" s="23"/>
      <c r="N35" s="165"/>
      <c r="O35" s="165"/>
      <c r="P35" s="61"/>
      <c r="Q35" s="61"/>
      <c r="R35" s="61"/>
      <c r="U35" s="61"/>
      <c r="V35" s="61"/>
      <c r="W35" s="61"/>
      <c r="X35" s="61"/>
      <c r="Y35" s="61"/>
      <c r="Z35" s="61"/>
      <c r="AA35" s="61"/>
      <c r="AB35" s="61"/>
      <c r="AC35" s="61"/>
      <c r="AD35" s="61"/>
      <c r="AE35" s="61"/>
      <c r="AF35" s="61"/>
      <c r="AG35" s="61"/>
      <c r="AH35" s="61"/>
      <c r="AI35" s="61"/>
      <c r="AJ35" s="61"/>
      <c r="AK35" s="61"/>
      <c r="AL35" s="61"/>
      <c r="AM35" s="61"/>
      <c r="AN35" s="61"/>
      <c r="AO35" s="61"/>
      <c r="AP35" s="61"/>
      <c r="AQ35" s="24"/>
      <c r="AR35" s="24"/>
    </row>
    <row r="36" spans="2:44" ht="15.75">
      <c r="B36" s="23"/>
      <c r="C36" s="145" t="s">
        <v>133</v>
      </c>
      <c r="D36" s="140">
        <f t="shared" si="5"/>
        <v>-5334</v>
      </c>
      <c r="E36" s="138">
        <f t="shared" si="6"/>
        <v>10850</v>
      </c>
      <c r="F36" s="23"/>
      <c r="G36" s="23"/>
      <c r="H36" s="23"/>
      <c r="I36" s="23"/>
      <c r="J36" s="23"/>
      <c r="K36" s="23"/>
      <c r="L36" s="23"/>
      <c r="M36" s="23"/>
      <c r="N36" s="165"/>
      <c r="O36" s="165"/>
      <c r="P36" s="61"/>
      <c r="Q36" s="61"/>
      <c r="R36" s="61"/>
      <c r="U36" s="61"/>
      <c r="V36" s="61"/>
      <c r="W36" s="61"/>
      <c r="X36" s="61"/>
      <c r="Y36" s="61"/>
      <c r="Z36" s="61"/>
      <c r="AA36" s="61"/>
      <c r="AB36" s="61"/>
      <c r="AC36" s="61"/>
      <c r="AD36" s="61"/>
      <c r="AE36" s="61"/>
      <c r="AF36" s="61"/>
      <c r="AG36" s="61"/>
      <c r="AH36" s="61"/>
      <c r="AI36" s="61"/>
      <c r="AJ36" s="61"/>
      <c r="AK36" s="61"/>
      <c r="AL36" s="61"/>
      <c r="AM36" s="61"/>
      <c r="AN36" s="61"/>
      <c r="AO36" s="61"/>
      <c r="AP36" s="61"/>
      <c r="AQ36" s="24"/>
      <c r="AR36" s="24"/>
    </row>
    <row r="37" spans="2:44" ht="15.75">
      <c r="B37" s="23"/>
      <c r="C37" s="145" t="s">
        <v>134</v>
      </c>
      <c r="D37" s="140">
        <f t="shared" si="5"/>
        <v>-2880</v>
      </c>
      <c r="E37" s="138">
        <f t="shared" si="6"/>
        <v>6021</v>
      </c>
      <c r="F37" s="23"/>
      <c r="G37" s="23"/>
      <c r="H37" s="23"/>
      <c r="I37" s="23"/>
      <c r="J37" s="23"/>
      <c r="K37" s="23"/>
      <c r="L37" s="23"/>
      <c r="M37" s="23"/>
      <c r="N37" s="165"/>
      <c r="O37" s="165"/>
      <c r="P37" s="61"/>
      <c r="Q37" s="61"/>
      <c r="R37" s="61"/>
      <c r="U37" s="61"/>
      <c r="V37" s="61"/>
      <c r="W37" s="61"/>
      <c r="X37" s="61"/>
      <c r="Y37" s="61"/>
      <c r="Z37" s="61"/>
      <c r="AA37" s="61"/>
      <c r="AB37" s="61"/>
      <c r="AC37" s="61"/>
      <c r="AD37" s="61"/>
      <c r="AE37" s="61"/>
      <c r="AF37" s="61"/>
      <c r="AG37" s="61"/>
      <c r="AH37" s="61"/>
      <c r="AI37" s="61"/>
      <c r="AJ37" s="61"/>
      <c r="AK37" s="61"/>
      <c r="AL37" s="61"/>
      <c r="AM37" s="61"/>
      <c r="AN37" s="61"/>
      <c r="AO37" s="61"/>
      <c r="AP37" s="61"/>
      <c r="AQ37" s="24"/>
      <c r="AR37" s="24"/>
    </row>
    <row r="38" spans="2:44" ht="15.75">
      <c r="B38" s="23"/>
      <c r="C38" s="145" t="s">
        <v>135</v>
      </c>
      <c r="D38" s="140">
        <f t="shared" si="5"/>
        <v>-1385</v>
      </c>
      <c r="E38" s="138">
        <f t="shared" si="6"/>
        <v>2812</v>
      </c>
      <c r="F38" s="23"/>
      <c r="G38" s="23"/>
      <c r="H38" s="23"/>
      <c r="I38" s="23"/>
      <c r="J38" s="23"/>
      <c r="K38" s="23"/>
      <c r="L38" s="23"/>
      <c r="M38" s="23"/>
      <c r="N38" s="165"/>
      <c r="O38" s="165"/>
      <c r="P38" s="61"/>
      <c r="Q38" s="61"/>
      <c r="R38" s="61"/>
      <c r="U38" s="61"/>
      <c r="V38" s="61"/>
      <c r="W38" s="61"/>
      <c r="X38" s="61"/>
      <c r="Y38" s="61"/>
      <c r="Z38" s="61"/>
      <c r="AA38" s="61"/>
      <c r="AB38" s="61"/>
      <c r="AC38" s="61"/>
      <c r="AD38" s="61"/>
      <c r="AE38" s="61"/>
      <c r="AF38" s="61"/>
      <c r="AG38" s="61"/>
      <c r="AH38" s="61"/>
      <c r="AI38" s="61"/>
      <c r="AJ38" s="61"/>
      <c r="AK38" s="61"/>
      <c r="AL38" s="61"/>
      <c r="AM38" s="61"/>
      <c r="AN38" s="61"/>
      <c r="AO38" s="61"/>
      <c r="AP38" s="61"/>
      <c r="AQ38" s="24"/>
      <c r="AR38" s="24"/>
    </row>
    <row r="39" spans="2:44" ht="15.75">
      <c r="B39" s="23"/>
      <c r="C39" s="145" t="s">
        <v>136</v>
      </c>
      <c r="D39" s="140">
        <f t="shared" si="5"/>
        <v>-879</v>
      </c>
      <c r="E39" s="138">
        <f t="shared" si="6"/>
        <v>1828</v>
      </c>
      <c r="F39" s="23"/>
      <c r="G39" s="23"/>
      <c r="H39" s="23"/>
      <c r="I39" s="23"/>
      <c r="J39" s="23"/>
      <c r="K39" s="23"/>
      <c r="L39" s="23"/>
      <c r="M39" s="23"/>
      <c r="N39" s="165"/>
      <c r="O39" s="165"/>
      <c r="P39" s="61"/>
      <c r="Q39" s="61"/>
      <c r="R39" s="61"/>
      <c r="U39" s="61"/>
      <c r="V39" s="61"/>
      <c r="W39" s="61"/>
      <c r="X39" s="61"/>
      <c r="Y39" s="61"/>
      <c r="Z39" s="61"/>
      <c r="AA39" s="61"/>
      <c r="AB39" s="61"/>
      <c r="AC39" s="61"/>
      <c r="AD39" s="61"/>
      <c r="AE39" s="61"/>
      <c r="AF39" s="61"/>
      <c r="AG39" s="61"/>
      <c r="AH39" s="61"/>
      <c r="AI39" s="61"/>
      <c r="AJ39" s="61"/>
      <c r="AK39" s="61"/>
      <c r="AL39" s="61"/>
      <c r="AM39" s="61"/>
      <c r="AN39" s="61"/>
      <c r="AO39" s="61"/>
      <c r="AP39" s="61"/>
      <c r="AQ39" s="24"/>
      <c r="AR39" s="24"/>
    </row>
    <row r="40" spans="2:44">
      <c r="B40" s="23"/>
      <c r="C40" s="23"/>
      <c r="D40" s="23"/>
      <c r="E40" s="23"/>
      <c r="F40" s="23"/>
      <c r="G40" s="23"/>
      <c r="H40" s="23"/>
      <c r="I40" s="23"/>
      <c r="J40" s="23"/>
      <c r="K40" s="23"/>
      <c r="L40" s="23"/>
      <c r="M40" s="23"/>
      <c r="N40" s="165"/>
      <c r="O40" s="165"/>
      <c r="P40" s="61"/>
      <c r="Q40" s="61"/>
      <c r="R40" s="61"/>
      <c r="U40" s="61"/>
      <c r="V40" s="61"/>
      <c r="W40" s="61"/>
      <c r="X40" s="61"/>
      <c r="Y40" s="61"/>
      <c r="Z40" s="61"/>
      <c r="AA40" s="61"/>
      <c r="AB40" s="61"/>
      <c r="AC40" s="61"/>
      <c r="AD40" s="61"/>
      <c r="AE40" s="61"/>
      <c r="AF40" s="61"/>
      <c r="AG40" s="61"/>
      <c r="AH40" s="61"/>
      <c r="AI40" s="61"/>
      <c r="AJ40" s="61"/>
      <c r="AK40" s="61"/>
      <c r="AL40" s="61"/>
      <c r="AM40" s="61"/>
      <c r="AN40" s="61"/>
      <c r="AO40" s="61"/>
      <c r="AP40" s="61"/>
      <c r="AQ40" s="24"/>
      <c r="AR40" s="24"/>
    </row>
    <row r="41" spans="2:44">
      <c r="B41" s="23"/>
      <c r="C41" s="23"/>
      <c r="D41" s="23"/>
      <c r="E41" s="23"/>
      <c r="F41" s="23"/>
      <c r="G41" s="23"/>
      <c r="H41" s="23"/>
      <c r="I41" s="23"/>
      <c r="J41" s="23"/>
      <c r="K41" s="23"/>
      <c r="L41" s="23"/>
      <c r="M41" s="23"/>
      <c r="N41" s="165"/>
      <c r="O41" s="165"/>
      <c r="P41" s="61"/>
      <c r="Q41" s="61"/>
      <c r="R41" s="61"/>
      <c r="U41" s="61"/>
      <c r="V41" s="61"/>
      <c r="W41" s="61"/>
      <c r="X41" s="61"/>
      <c r="Y41" s="61"/>
      <c r="Z41" s="61"/>
      <c r="AA41" s="61"/>
      <c r="AB41" s="61"/>
      <c r="AC41" s="61"/>
      <c r="AD41" s="61"/>
      <c r="AE41" s="61"/>
      <c r="AF41" s="61"/>
      <c r="AG41" s="61"/>
      <c r="AH41" s="61"/>
      <c r="AI41" s="61"/>
      <c r="AJ41" s="61"/>
      <c r="AK41" s="61"/>
      <c r="AL41" s="61"/>
      <c r="AM41" s="61"/>
      <c r="AN41" s="61"/>
      <c r="AO41" s="61"/>
      <c r="AP41" s="61"/>
      <c r="AQ41" s="24"/>
      <c r="AR41" s="24"/>
    </row>
    <row r="42" spans="2:44">
      <c r="B42" s="23"/>
      <c r="C42" s="23"/>
      <c r="D42" s="23"/>
      <c r="E42" s="23"/>
      <c r="F42" s="23"/>
      <c r="G42" s="23"/>
      <c r="H42" s="23"/>
      <c r="I42" s="23"/>
      <c r="J42" s="23"/>
      <c r="K42" s="23"/>
      <c r="L42" s="23"/>
      <c r="M42" s="23"/>
      <c r="O42" s="61"/>
      <c r="P42" s="61"/>
      <c r="Q42" s="61"/>
      <c r="R42" s="61"/>
      <c r="U42" s="61"/>
      <c r="V42" s="61"/>
      <c r="W42" s="61"/>
      <c r="X42" s="61"/>
      <c r="Y42" s="61"/>
      <c r="Z42" s="61"/>
      <c r="AA42" s="61"/>
      <c r="AB42" s="61"/>
      <c r="AC42" s="61"/>
      <c r="AD42" s="61"/>
      <c r="AE42" s="61"/>
      <c r="AF42" s="61"/>
      <c r="AG42" s="61"/>
      <c r="AH42" s="61"/>
      <c r="AI42" s="61"/>
      <c r="AJ42" s="61"/>
      <c r="AK42" s="61"/>
      <c r="AL42" s="61"/>
      <c r="AM42" s="61"/>
      <c r="AN42" s="61"/>
      <c r="AO42" s="61"/>
      <c r="AP42" s="61"/>
      <c r="AQ42" s="24"/>
      <c r="AR42" s="24"/>
    </row>
    <row r="43" spans="2:44">
      <c r="B43" s="23"/>
      <c r="C43" s="23"/>
      <c r="D43" s="23"/>
      <c r="E43" s="23"/>
      <c r="F43" s="23"/>
      <c r="G43" s="23"/>
      <c r="H43" s="23"/>
      <c r="I43" s="23"/>
      <c r="J43" s="23"/>
      <c r="K43" s="23"/>
      <c r="L43" s="23"/>
      <c r="M43" s="23"/>
      <c r="O43" s="61"/>
      <c r="P43" s="61"/>
      <c r="Q43" s="61"/>
      <c r="R43" s="61"/>
      <c r="U43" s="61"/>
      <c r="V43" s="61"/>
      <c r="W43" s="61"/>
      <c r="X43" s="61"/>
      <c r="Y43" s="61"/>
      <c r="Z43" s="61"/>
      <c r="AA43" s="61"/>
      <c r="AB43" s="61"/>
      <c r="AC43" s="61"/>
      <c r="AD43" s="61"/>
      <c r="AE43" s="61"/>
      <c r="AF43" s="61"/>
      <c r="AG43" s="61"/>
      <c r="AH43" s="61"/>
      <c r="AI43" s="61"/>
      <c r="AJ43" s="61"/>
      <c r="AK43" s="61"/>
      <c r="AL43" s="61"/>
      <c r="AM43" s="61"/>
      <c r="AN43" s="61"/>
      <c r="AO43" s="61"/>
      <c r="AP43" s="61"/>
      <c r="AQ43" s="24"/>
      <c r="AR43" s="24"/>
    </row>
    <row r="44" spans="2:44">
      <c r="B44" s="23"/>
      <c r="C44" s="23"/>
      <c r="D44" s="23"/>
      <c r="E44" s="23"/>
      <c r="F44" s="23"/>
      <c r="G44" s="23"/>
      <c r="H44" s="23"/>
      <c r="I44" s="23"/>
      <c r="J44" s="23"/>
      <c r="K44" s="23"/>
      <c r="L44" s="23"/>
      <c r="M44" s="23"/>
      <c r="O44" s="61"/>
      <c r="P44" s="61"/>
      <c r="Q44" s="61"/>
      <c r="R44" s="61"/>
      <c r="U44" s="61"/>
      <c r="V44" s="61"/>
      <c r="W44" s="61"/>
      <c r="X44" s="61"/>
      <c r="Y44" s="61"/>
      <c r="Z44" s="61"/>
      <c r="AA44" s="61"/>
      <c r="AB44" s="61"/>
      <c r="AC44" s="61"/>
      <c r="AD44" s="61"/>
      <c r="AE44" s="61"/>
      <c r="AF44" s="61"/>
      <c r="AG44" s="61"/>
      <c r="AH44" s="61"/>
      <c r="AI44" s="61"/>
      <c r="AJ44" s="61"/>
      <c r="AK44" s="61"/>
      <c r="AL44" s="61"/>
      <c r="AM44" s="61"/>
      <c r="AN44" s="61"/>
      <c r="AO44" s="61"/>
      <c r="AP44" s="61"/>
      <c r="AQ44" s="24"/>
      <c r="AR44" s="24"/>
    </row>
    <row r="45" spans="2:44">
      <c r="B45" s="23"/>
      <c r="C45" s="23"/>
      <c r="D45" s="23"/>
      <c r="E45" s="23"/>
      <c r="F45" s="23"/>
      <c r="G45" s="23"/>
      <c r="H45" s="23"/>
      <c r="I45" s="23"/>
      <c r="J45" s="23"/>
      <c r="K45" s="23"/>
      <c r="L45" s="23"/>
      <c r="M45" s="23"/>
      <c r="O45" s="61"/>
      <c r="P45" s="61"/>
      <c r="Q45" s="61"/>
      <c r="R45" s="61"/>
      <c r="U45" s="61"/>
      <c r="V45" s="61"/>
      <c r="W45" s="61"/>
      <c r="X45" s="61"/>
      <c r="Y45" s="61"/>
      <c r="Z45" s="61"/>
      <c r="AA45" s="61"/>
      <c r="AB45" s="61"/>
      <c r="AC45" s="61"/>
      <c r="AD45" s="61"/>
      <c r="AE45" s="61"/>
      <c r="AF45" s="61"/>
      <c r="AG45" s="61"/>
      <c r="AH45" s="61"/>
      <c r="AI45" s="61"/>
      <c r="AJ45" s="61"/>
      <c r="AK45" s="61"/>
      <c r="AL45" s="61"/>
      <c r="AM45" s="61"/>
      <c r="AN45" s="61"/>
      <c r="AO45" s="61"/>
      <c r="AP45" s="61"/>
      <c r="AQ45" s="24"/>
      <c r="AR45" s="24"/>
    </row>
    <row r="46" spans="2:44">
      <c r="O46" s="61"/>
      <c r="P46" s="61"/>
      <c r="Q46" s="61"/>
      <c r="R46" s="61"/>
      <c r="U46" s="61"/>
      <c r="V46" s="61"/>
      <c r="W46" s="61"/>
      <c r="X46" s="61"/>
      <c r="Y46" s="61"/>
      <c r="Z46" s="61"/>
      <c r="AA46" s="61"/>
      <c r="AB46" s="61"/>
      <c r="AC46" s="61"/>
      <c r="AD46" s="61"/>
      <c r="AE46" s="61"/>
      <c r="AF46" s="61"/>
      <c r="AG46" s="61"/>
      <c r="AH46" s="61"/>
      <c r="AI46" s="61"/>
      <c r="AJ46" s="61"/>
      <c r="AK46" s="61"/>
      <c r="AL46" s="61"/>
      <c r="AM46" s="61"/>
      <c r="AN46" s="61"/>
      <c r="AO46" s="61"/>
      <c r="AP46" s="61"/>
      <c r="AQ46" s="24"/>
      <c r="AR46" s="24"/>
    </row>
    <row r="47" spans="2:44">
      <c r="O47" s="61"/>
      <c r="P47" s="61"/>
      <c r="Q47" s="61"/>
      <c r="R47" s="61"/>
      <c r="U47" s="61"/>
      <c r="V47" s="61"/>
      <c r="W47" s="61"/>
      <c r="X47" s="61"/>
      <c r="Y47" s="61"/>
      <c r="Z47" s="61"/>
      <c r="AA47" s="61"/>
      <c r="AB47" s="61"/>
      <c r="AC47" s="61"/>
      <c r="AD47" s="61"/>
      <c r="AE47" s="61"/>
      <c r="AF47" s="61"/>
      <c r="AG47" s="61"/>
      <c r="AH47" s="61"/>
      <c r="AI47" s="61"/>
      <c r="AJ47" s="61"/>
      <c r="AK47" s="61"/>
      <c r="AL47" s="61"/>
      <c r="AM47" s="61"/>
      <c r="AN47" s="61"/>
      <c r="AO47" s="61"/>
      <c r="AP47" s="61"/>
      <c r="AQ47" s="24"/>
      <c r="AR47" s="146"/>
    </row>
    <row r="48" spans="2:44" ht="15.75">
      <c r="O48" s="61"/>
      <c r="P48" s="61"/>
      <c r="Q48" s="61"/>
      <c r="R48" s="61"/>
      <c r="U48" s="61"/>
      <c r="V48" s="61"/>
      <c r="W48" s="61"/>
      <c r="X48" s="61"/>
      <c r="Y48" s="61"/>
      <c r="Z48" s="61"/>
      <c r="AA48" s="61"/>
      <c r="AB48" s="61"/>
      <c r="AC48" s="61"/>
      <c r="AD48" s="61"/>
      <c r="AE48" s="61"/>
      <c r="AF48" s="61"/>
      <c r="AG48" s="61"/>
      <c r="AH48" s="61"/>
      <c r="AI48" s="61"/>
      <c r="AJ48" s="61"/>
      <c r="AK48" s="61"/>
      <c r="AL48" s="61"/>
      <c r="AM48" s="61"/>
      <c r="AN48" s="61"/>
      <c r="AO48" s="61"/>
      <c r="AP48" s="147"/>
      <c r="AQ48" s="24"/>
      <c r="AR48" s="146"/>
    </row>
  </sheetData>
  <mergeCells count="3">
    <mergeCell ref="A1:M1"/>
    <mergeCell ref="C23:C24"/>
    <mergeCell ref="AV3:AX3"/>
  </mergeCells>
  <printOptions horizontalCentered="1" verticalCentered="1"/>
  <pageMargins left="0.4" right="0.4" top="0.25" bottom="0.25" header="0.31496062992126" footer="0.31496062992126"/>
  <pageSetup scale="44"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T19"/>
  <sheetViews>
    <sheetView showGridLines="0" view="pageBreakPreview" zoomScale="70" zoomScaleNormal="85" zoomScaleSheetLayoutView="70" workbookViewId="0">
      <selection activeCell="P53" sqref="P53"/>
    </sheetView>
  </sheetViews>
  <sheetFormatPr baseColWidth="10" defaultColWidth="11.42578125" defaultRowHeight="15"/>
  <cols>
    <col min="1" max="1" width="13.85546875" style="58" customWidth="1"/>
    <col min="2" max="2" width="16" style="58" customWidth="1"/>
    <col min="3" max="3" width="15" style="58" customWidth="1"/>
    <col min="4" max="4" width="16.28515625" style="58" customWidth="1"/>
    <col min="5" max="5" width="16.7109375" style="58" customWidth="1"/>
    <col min="6" max="6" width="15" style="58" customWidth="1"/>
    <col min="7" max="7" width="22" style="58" bestFit="1" customWidth="1"/>
    <col min="8" max="8" width="15.140625" style="58" bestFit="1" customWidth="1"/>
    <col min="9" max="9" width="14.140625" style="58" bestFit="1" customWidth="1"/>
    <col min="10" max="10" width="15.140625" style="58" bestFit="1" customWidth="1"/>
    <col min="11" max="11" width="18" style="58" customWidth="1"/>
    <col min="12" max="14" width="11.42578125" style="58"/>
    <col min="15" max="15" width="3.7109375" style="58" customWidth="1"/>
    <col min="16" max="16" width="13" style="58" bestFit="1" customWidth="1"/>
    <col min="17" max="17" width="15.140625" style="58" bestFit="1" customWidth="1"/>
    <col min="18" max="16384" width="11.42578125" style="58"/>
  </cols>
  <sheetData>
    <row r="1" spans="1:20" s="77" customFormat="1" ht="82.5" customHeight="1">
      <c r="A1" s="1914"/>
      <c r="B1" s="1914"/>
      <c r="C1" s="1914"/>
      <c r="D1" s="1914"/>
      <c r="E1" s="1914"/>
      <c r="F1" s="1914"/>
      <c r="G1" s="1914"/>
      <c r="H1" s="1914"/>
      <c r="I1" s="1914"/>
      <c r="J1" s="1914"/>
      <c r="K1" s="1914"/>
      <c r="L1" s="1914"/>
      <c r="M1" s="1914"/>
      <c r="N1" s="1914"/>
    </row>
    <row r="2" spans="1:20" s="77" customFormat="1" ht="7.5" customHeight="1">
      <c r="A2" s="1915"/>
      <c r="B2" s="1915"/>
      <c r="C2" s="1915"/>
      <c r="D2" s="1915"/>
      <c r="E2" s="1915"/>
      <c r="F2" s="1915"/>
      <c r="G2" s="1915"/>
      <c r="H2" s="1915"/>
      <c r="I2" s="1915"/>
      <c r="J2" s="1915"/>
      <c r="K2" s="1915"/>
      <c r="L2" s="1915"/>
      <c r="M2" s="1915"/>
      <c r="N2" s="1915"/>
    </row>
    <row r="3" spans="1:20" s="77" customFormat="1" ht="39" customHeight="1">
      <c r="A3" s="1916" t="s">
        <v>47</v>
      </c>
      <c r="B3" s="1918" t="s">
        <v>610</v>
      </c>
      <c r="C3" s="1919"/>
      <c r="D3" s="1919"/>
      <c r="E3" s="1919"/>
      <c r="F3" s="1920"/>
      <c r="G3" s="71"/>
      <c r="H3" s="71"/>
      <c r="I3" s="71"/>
      <c r="J3" s="71"/>
      <c r="Q3" s="286"/>
      <c r="R3" s="286"/>
      <c r="S3" s="286"/>
      <c r="T3" s="286"/>
    </row>
    <row r="4" spans="1:20" s="77" customFormat="1" ht="18.75">
      <c r="A4" s="1917"/>
      <c r="B4" s="1334" t="s">
        <v>606</v>
      </c>
      <c r="C4" s="1334" t="s">
        <v>607</v>
      </c>
      <c r="D4" s="1334" t="s">
        <v>608</v>
      </c>
      <c r="E4" s="1334" t="s">
        <v>609</v>
      </c>
      <c r="F4" s="1333" t="s">
        <v>170</v>
      </c>
      <c r="G4" s="71"/>
      <c r="H4" s="71"/>
      <c r="I4" s="71"/>
      <c r="J4" s="71"/>
      <c r="Q4" s="286"/>
      <c r="R4" s="286"/>
      <c r="S4" s="286"/>
      <c r="T4" s="286"/>
    </row>
    <row r="5" spans="1:20" ht="18.75">
      <c r="A5" s="532" t="s">
        <v>567</v>
      </c>
      <c r="B5" s="287">
        <v>275990</v>
      </c>
      <c r="C5" s="287">
        <v>577128</v>
      </c>
      <c r="D5" s="287">
        <v>383655</v>
      </c>
      <c r="E5" s="287">
        <v>343083</v>
      </c>
      <c r="F5" s="535">
        <f t="shared" ref="F5:F11" si="0">+B5+C5+D5+E5</f>
        <v>1579856</v>
      </c>
    </row>
    <row r="6" spans="1:20" ht="18.75">
      <c r="A6" s="532" t="s">
        <v>568</v>
      </c>
      <c r="B6" s="287">
        <v>274624</v>
      </c>
      <c r="C6" s="287">
        <v>582358</v>
      </c>
      <c r="D6" s="287">
        <v>387019</v>
      </c>
      <c r="E6" s="287">
        <v>346118</v>
      </c>
      <c r="F6" s="535">
        <f t="shared" si="0"/>
        <v>1590119</v>
      </c>
    </row>
    <row r="7" spans="1:20" ht="21">
      <c r="A7" s="532" t="s">
        <v>569</v>
      </c>
      <c r="B7" s="287">
        <v>277391</v>
      </c>
      <c r="C7" s="287">
        <v>585908</v>
      </c>
      <c r="D7" s="287">
        <v>387179</v>
      </c>
      <c r="E7" s="287">
        <v>346360</v>
      </c>
      <c r="F7" s="535">
        <f t="shared" si="0"/>
        <v>1596838</v>
      </c>
      <c r="P7" s="534"/>
    </row>
    <row r="8" spans="1:20" ht="18.75">
      <c r="A8" s="532" t="s">
        <v>570</v>
      </c>
      <c r="B8" s="287">
        <v>276510</v>
      </c>
      <c r="C8" s="287">
        <v>594455</v>
      </c>
      <c r="D8" s="287">
        <v>389664</v>
      </c>
      <c r="E8" s="287">
        <v>345247</v>
      </c>
      <c r="F8" s="535">
        <f t="shared" si="0"/>
        <v>1605876</v>
      </c>
    </row>
    <row r="9" spans="1:20" ht="18.75">
      <c r="A9" s="532" t="s">
        <v>547</v>
      </c>
      <c r="B9" s="287">
        <v>280712</v>
      </c>
      <c r="C9" s="287">
        <v>608568</v>
      </c>
      <c r="D9" s="287">
        <v>391615</v>
      </c>
      <c r="E9" s="287">
        <v>346177</v>
      </c>
      <c r="F9" s="535">
        <f t="shared" si="0"/>
        <v>1627072</v>
      </c>
      <c r="P9" s="1335"/>
    </row>
    <row r="10" spans="1:20" ht="18.75">
      <c r="A10" s="532" t="s">
        <v>588</v>
      </c>
      <c r="B10" s="287">
        <v>280852</v>
      </c>
      <c r="C10" s="287">
        <v>618171</v>
      </c>
      <c r="D10" s="287">
        <v>393074</v>
      </c>
      <c r="E10" s="287">
        <v>349307</v>
      </c>
      <c r="F10" s="535">
        <f t="shared" si="0"/>
        <v>1641404</v>
      </c>
      <c r="P10" s="1335"/>
    </row>
    <row r="11" spans="1:20" ht="18.75">
      <c r="A11" s="532" t="s">
        <v>586</v>
      </c>
      <c r="B11" s="287">
        <v>285703</v>
      </c>
      <c r="C11" s="287">
        <v>624371</v>
      </c>
      <c r="D11" s="287">
        <v>391447</v>
      </c>
      <c r="E11" s="287">
        <v>349681</v>
      </c>
      <c r="F11" s="535">
        <f t="shared" si="0"/>
        <v>1651202</v>
      </c>
      <c r="P11" s="1335"/>
    </row>
    <row r="12" spans="1:20" ht="18.75">
      <c r="A12" s="532" t="s">
        <v>587</v>
      </c>
      <c r="B12" s="287">
        <v>284184</v>
      </c>
      <c r="C12" s="287">
        <v>624657</v>
      </c>
      <c r="D12" s="287">
        <v>393280</v>
      </c>
      <c r="E12" s="287">
        <v>352363</v>
      </c>
      <c r="F12" s="535">
        <f>+B12+C12+D12+E12</f>
        <v>1654484</v>
      </c>
    </row>
    <row r="13" spans="1:20" ht="18.75">
      <c r="A13" s="532" t="s">
        <v>761</v>
      </c>
      <c r="B13" s="287">
        <v>288078</v>
      </c>
      <c r="C13" s="287">
        <v>627166</v>
      </c>
      <c r="D13" s="287">
        <v>394796</v>
      </c>
      <c r="E13" s="287">
        <v>351430</v>
      </c>
      <c r="F13" s="535">
        <f>+B13+C13+D13+E13</f>
        <v>1661470</v>
      </c>
    </row>
    <row r="14" spans="1:20" ht="18.75">
      <c r="A14" s="532" t="s">
        <v>909</v>
      </c>
      <c r="B14" s="287">
        <v>292468</v>
      </c>
      <c r="C14" s="287">
        <v>632767</v>
      </c>
      <c r="D14" s="287">
        <v>397528</v>
      </c>
      <c r="E14" s="287">
        <v>353984</v>
      </c>
      <c r="F14" s="535">
        <f>+E14+D14+C14+B14</f>
        <v>1676747</v>
      </c>
    </row>
    <row r="15" spans="1:20" ht="18.75">
      <c r="A15" s="532" t="s">
        <v>917</v>
      </c>
      <c r="B15" s="287">
        <v>300150</v>
      </c>
      <c r="C15" s="287">
        <v>636688</v>
      </c>
      <c r="D15" s="287">
        <v>401347</v>
      </c>
      <c r="E15" s="287">
        <v>359903</v>
      </c>
      <c r="F15" s="535">
        <v>1698088</v>
      </c>
    </row>
    <row r="16" spans="1:20" ht="18.75">
      <c r="A16" s="532" t="s">
        <v>931</v>
      </c>
      <c r="B16" s="287">
        <v>302993</v>
      </c>
      <c r="C16" s="287">
        <v>640576</v>
      </c>
      <c r="D16" s="287">
        <v>403268</v>
      </c>
      <c r="E16" s="287">
        <v>359446</v>
      </c>
      <c r="F16" s="535">
        <v>1706283</v>
      </c>
    </row>
    <row r="17" spans="1:6" ht="18.75">
      <c r="A17" s="533" t="s">
        <v>946</v>
      </c>
      <c r="B17" s="1649">
        <v>306000</v>
      </c>
      <c r="C17" s="1649">
        <v>639537</v>
      </c>
      <c r="D17" s="1649">
        <v>402370</v>
      </c>
      <c r="E17" s="1649">
        <v>358877</v>
      </c>
      <c r="F17" s="536">
        <f>+E17+D17+C17+B17</f>
        <v>1706784</v>
      </c>
    </row>
    <row r="19" spans="1:6">
      <c r="B19" s="1335"/>
      <c r="C19" s="1335"/>
      <c r="D19" s="1335"/>
      <c r="E19" s="1335"/>
      <c r="F19" s="1335"/>
    </row>
  </sheetData>
  <mergeCells count="4">
    <mergeCell ref="A1:N1"/>
    <mergeCell ref="A2:N2"/>
    <mergeCell ref="A3:A4"/>
    <mergeCell ref="B3:F3"/>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O50"/>
  <sheetViews>
    <sheetView showGridLines="0" view="pageBreakPreview" zoomScale="55" zoomScaleNormal="100" zoomScaleSheetLayoutView="55" workbookViewId="0">
      <pane ySplit="1" topLeftCell="A2" activePane="bottomLeft" state="frozen"/>
      <selection pane="bottomLeft" activeCell="N45" sqref="N45"/>
    </sheetView>
  </sheetViews>
  <sheetFormatPr baseColWidth="10" defaultColWidth="11.42578125" defaultRowHeight="15"/>
  <cols>
    <col min="1" max="1" width="16.28515625" style="39" customWidth="1"/>
    <col min="2" max="2" width="15.85546875" style="39" customWidth="1"/>
    <col min="3" max="3" width="25.140625" style="39" customWidth="1"/>
    <col min="4" max="4" width="33.5703125" style="39" customWidth="1"/>
    <col min="5" max="5" width="18.85546875" style="39" customWidth="1"/>
    <col min="6" max="6" width="14.28515625" style="39" customWidth="1"/>
    <col min="7" max="7" width="13.140625" style="39" customWidth="1"/>
    <col min="8" max="8" width="17" style="39" customWidth="1"/>
    <col min="9" max="9" width="15.85546875" style="39" customWidth="1"/>
    <col min="10" max="10" width="15.5703125" style="39" customWidth="1"/>
    <col min="11" max="11" width="14.42578125" style="39" customWidth="1"/>
    <col min="12" max="12" width="14.28515625" style="39" customWidth="1"/>
    <col min="13" max="13" width="13.85546875" style="39" customWidth="1"/>
    <col min="14" max="16384" width="11.42578125" style="39"/>
  </cols>
  <sheetData>
    <row r="1" spans="1:15" s="77" customFormat="1" ht="81" customHeight="1">
      <c r="A1" s="1880"/>
      <c r="B1" s="1880"/>
      <c r="C1" s="1880"/>
      <c r="D1" s="1880"/>
      <c r="E1" s="1880"/>
      <c r="F1" s="1880"/>
      <c r="G1" s="1880"/>
      <c r="H1" s="1880"/>
      <c r="I1" s="1880"/>
      <c r="J1" s="1880"/>
    </row>
    <row r="2" spans="1:15" s="77" customFormat="1" ht="11.25" customHeight="1">
      <c r="A2" s="1921"/>
      <c r="B2" s="1921"/>
      <c r="C2" s="1921"/>
      <c r="D2" s="1921"/>
      <c r="E2" s="1921"/>
      <c r="F2" s="1921"/>
      <c r="G2" s="1921"/>
      <c r="H2" s="1921"/>
      <c r="I2" s="1921"/>
      <c r="J2" s="1921"/>
    </row>
    <row r="3" spans="1:15" s="77" customFormat="1" ht="60" customHeight="1">
      <c r="A3" s="1371" t="s">
        <v>0</v>
      </c>
      <c r="B3" s="1372" t="s">
        <v>265</v>
      </c>
      <c r="C3" s="1372" t="s">
        <v>420</v>
      </c>
      <c r="D3" s="1372" t="s">
        <v>915</v>
      </c>
      <c r="E3" s="1373" t="s">
        <v>264</v>
      </c>
      <c r="F3" s="94"/>
      <c r="G3" s="94"/>
      <c r="H3" s="94"/>
      <c r="I3" s="94"/>
      <c r="J3" s="94"/>
      <c r="K3" s="948"/>
      <c r="L3" s="948"/>
      <c r="M3" s="948"/>
      <c r="N3" s="948"/>
      <c r="O3" s="948"/>
    </row>
    <row r="4" spans="1:15" s="77" customFormat="1" ht="18.75">
      <c r="A4" s="1225" t="s">
        <v>262</v>
      </c>
      <c r="B4" s="1447">
        <v>626615</v>
      </c>
      <c r="C4" s="1447">
        <f>+'V.4.2.NA. Reportes ARL'!D4</f>
        <v>3731</v>
      </c>
      <c r="D4" s="1448">
        <f t="shared" ref="D4:D14" si="0">C4/B4*$A$20</f>
        <v>595.42143102223849</v>
      </c>
      <c r="E4" s="1449">
        <f>C4/B4</f>
        <v>5.9542143102223853E-3</v>
      </c>
      <c r="F4" s="94"/>
      <c r="I4" s="94"/>
      <c r="J4" s="94"/>
      <c r="K4" s="948"/>
      <c r="L4" s="948"/>
      <c r="M4" s="948"/>
      <c r="N4" s="948"/>
      <c r="O4" s="948"/>
    </row>
    <row r="5" spans="1:15" s="77" customFormat="1" ht="18.75">
      <c r="A5" s="1225" t="s">
        <v>261</v>
      </c>
      <c r="B5" s="1447">
        <v>808496</v>
      </c>
      <c r="C5" s="1447">
        <f>+'V.4.2.NA. Reportes ARL'!D5</f>
        <v>5535</v>
      </c>
      <c r="D5" s="1448">
        <f t="shared" si="0"/>
        <v>684.60450020779331</v>
      </c>
      <c r="E5" s="1449">
        <f t="shared" ref="E5:E10" si="1">C5/B5</f>
        <v>6.8460450020779327E-3</v>
      </c>
      <c r="F5" s="94"/>
      <c r="H5" s="94"/>
      <c r="I5" s="94"/>
      <c r="J5" s="94"/>
      <c r="K5" s="948"/>
      <c r="L5" s="948"/>
      <c r="M5" s="948"/>
      <c r="N5" s="948"/>
      <c r="O5" s="948"/>
    </row>
    <row r="6" spans="1:15" s="77" customFormat="1" ht="18.75">
      <c r="A6" s="1225" t="s">
        <v>177</v>
      </c>
      <c r="B6" s="1447">
        <v>913203</v>
      </c>
      <c r="C6" s="1447">
        <f>+'V.4.2.NA. Reportes ARL'!D6</f>
        <v>8544</v>
      </c>
      <c r="D6" s="1448">
        <f t="shared" si="0"/>
        <v>935.60796449420332</v>
      </c>
      <c r="E6" s="1449">
        <f t="shared" si="1"/>
        <v>9.3560796449420336E-3</v>
      </c>
      <c r="F6" s="94"/>
      <c r="H6" s="94"/>
      <c r="I6" s="94" t="s">
        <v>33</v>
      </c>
      <c r="J6" s="94"/>
      <c r="K6" s="948"/>
      <c r="L6" s="948"/>
      <c r="M6" s="948"/>
      <c r="N6" s="948"/>
      <c r="O6" s="948"/>
    </row>
    <row r="7" spans="1:15" s="77" customFormat="1" ht="18.75">
      <c r="A7" s="1225" t="s">
        <v>232</v>
      </c>
      <c r="B7" s="1447">
        <v>992746</v>
      </c>
      <c r="C7" s="1447">
        <f>+'V.4.2.NA. Reportes ARL'!D7</f>
        <v>10977</v>
      </c>
      <c r="D7" s="1448">
        <f t="shared" si="0"/>
        <v>1105.7208994042787</v>
      </c>
      <c r="E7" s="1449">
        <f t="shared" si="1"/>
        <v>1.1057208994042786E-2</v>
      </c>
      <c r="F7" s="94"/>
      <c r="H7" s="94"/>
      <c r="I7" s="94"/>
      <c r="J7" s="94"/>
      <c r="K7" s="948"/>
      <c r="L7" s="948"/>
      <c r="M7" s="948"/>
      <c r="N7" s="948"/>
      <c r="O7" s="948"/>
    </row>
    <row r="8" spans="1:15" s="77" customFormat="1" ht="18.75">
      <c r="A8" s="1225" t="s">
        <v>233</v>
      </c>
      <c r="B8" s="1447">
        <v>1084705</v>
      </c>
      <c r="C8" s="1447">
        <f>+'V.4.2.NA. Reportes ARL'!D8</f>
        <v>14683</v>
      </c>
      <c r="D8" s="1448">
        <f t="shared" si="0"/>
        <v>1353.6399297504852</v>
      </c>
      <c r="E8" s="1449">
        <f t="shared" si="1"/>
        <v>1.3536399297504852E-2</v>
      </c>
      <c r="F8" s="94"/>
      <c r="H8" s="94"/>
      <c r="I8" s="94"/>
      <c r="J8" s="94"/>
      <c r="K8" s="948"/>
      <c r="L8" s="948"/>
      <c r="M8" s="948"/>
      <c r="N8" s="948"/>
      <c r="O8" s="948"/>
    </row>
    <row r="9" spans="1:15" s="77" customFormat="1" ht="18.75">
      <c r="A9" s="1225" t="s">
        <v>196</v>
      </c>
      <c r="B9" s="1447">
        <v>1183463</v>
      </c>
      <c r="C9" s="1447">
        <f>+'V.4.2.NA. Reportes ARL'!D9</f>
        <v>17456</v>
      </c>
      <c r="D9" s="1448">
        <f t="shared" si="0"/>
        <v>1474.9933035506815</v>
      </c>
      <c r="E9" s="1449">
        <f t="shared" si="1"/>
        <v>1.4749933035506814E-2</v>
      </c>
      <c r="F9" s="94"/>
      <c r="H9" s="94"/>
      <c r="I9" s="94"/>
      <c r="J9" s="94"/>
      <c r="K9" s="948"/>
      <c r="L9" s="948"/>
      <c r="M9" s="948"/>
      <c r="N9" s="948"/>
      <c r="O9" s="948"/>
    </row>
    <row r="10" spans="1:15" s="77" customFormat="1" ht="18.75">
      <c r="A10" s="1225" t="s">
        <v>234</v>
      </c>
      <c r="B10" s="1447">
        <v>1367790</v>
      </c>
      <c r="C10" s="1447">
        <f>+'V.4.2.NA. Reportes ARL'!D10</f>
        <v>22597</v>
      </c>
      <c r="D10" s="1448">
        <f t="shared" si="0"/>
        <v>1652.0810943200345</v>
      </c>
      <c r="E10" s="1449">
        <f t="shared" si="1"/>
        <v>1.6520810943200345E-2</v>
      </c>
      <c r="F10" s="94"/>
      <c r="H10" s="94"/>
      <c r="I10" s="94"/>
      <c r="J10" s="94"/>
      <c r="K10" s="948"/>
      <c r="L10" s="948"/>
      <c r="M10" s="948"/>
      <c r="N10" s="948"/>
      <c r="O10" s="948"/>
    </row>
    <row r="11" spans="1:15" s="77" customFormat="1" ht="18.75">
      <c r="A11" s="1225" t="s">
        <v>485</v>
      </c>
      <c r="B11" s="1447">
        <v>1430273</v>
      </c>
      <c r="C11" s="1447">
        <f>+'V.4.2.NA. Reportes ARL'!D11</f>
        <v>26688</v>
      </c>
      <c r="D11" s="1448">
        <f t="shared" si="0"/>
        <v>1865.9374818653503</v>
      </c>
      <c r="E11" s="1449">
        <f>C11/B11</f>
        <v>1.8659374818653502E-2</v>
      </c>
      <c r="F11" s="94"/>
      <c r="H11" s="94"/>
      <c r="I11" s="94"/>
      <c r="J11" s="94"/>
      <c r="K11" s="948"/>
      <c r="L11" s="948"/>
      <c r="M11" s="948"/>
      <c r="N11" s="948"/>
      <c r="O11" s="948"/>
    </row>
    <row r="12" spans="1:15" s="77" customFormat="1" ht="18.75">
      <c r="A12" s="1225" t="s">
        <v>573</v>
      </c>
      <c r="B12" s="1447">
        <v>1530322</v>
      </c>
      <c r="C12" s="1447">
        <f>+'V.4.2.NA. Reportes ARL'!D12</f>
        <v>28635</v>
      </c>
      <c r="D12" s="1448">
        <f t="shared" si="0"/>
        <v>1871.174824644748</v>
      </c>
      <c r="E12" s="1449">
        <f>C12/B12</f>
        <v>1.8711748246447481E-2</v>
      </c>
      <c r="F12" s="94"/>
      <c r="H12" s="94"/>
      <c r="I12" s="94"/>
      <c r="J12" s="94"/>
      <c r="K12" s="948"/>
      <c r="L12" s="948"/>
      <c r="M12" s="948"/>
      <c r="N12" s="948"/>
      <c r="O12" s="948"/>
    </row>
    <row r="13" spans="1:15" s="77" customFormat="1" ht="18.75">
      <c r="A13" s="1225" t="s">
        <v>581</v>
      </c>
      <c r="B13" s="1447">
        <f>+'[3]VI.1.1 Afil. SRL'!D10</f>
        <v>1651202</v>
      </c>
      <c r="C13" s="1447">
        <f>+'V.4.2.NA. Reportes ARL'!D13</f>
        <v>31032</v>
      </c>
      <c r="D13" s="1448">
        <f t="shared" si="0"/>
        <v>1879.3581887618836</v>
      </c>
      <c r="E13" s="1449">
        <f>C13/B13</f>
        <v>1.8793581887618836E-2</v>
      </c>
      <c r="F13" s="94"/>
      <c r="H13" s="94"/>
      <c r="I13" s="94"/>
      <c r="J13" s="94"/>
      <c r="K13" s="948"/>
      <c r="L13" s="948"/>
      <c r="M13" s="948"/>
      <c r="N13" s="948"/>
      <c r="O13" s="948"/>
    </row>
    <row r="14" spans="1:15" s="77" customFormat="1" ht="18.75">
      <c r="A14" s="1225" t="s">
        <v>947</v>
      </c>
      <c r="B14" s="1447">
        <f>+'III.6.4.Afil. SRL x sexoy edad'!B18</f>
        <v>1706784</v>
      </c>
      <c r="C14" s="1447">
        <f>+'V.4.2.NA. Reportes ARL'!D14</f>
        <v>16559</v>
      </c>
      <c r="D14" s="1448">
        <f t="shared" si="0"/>
        <v>970.18720587959581</v>
      </c>
      <c r="E14" s="1449">
        <f>C14/B14</f>
        <v>9.701872058795958E-3</v>
      </c>
      <c r="F14" s="94"/>
      <c r="H14" s="94"/>
      <c r="I14" s="94"/>
      <c r="J14" s="94"/>
      <c r="K14" s="948"/>
      <c r="L14" s="948"/>
      <c r="M14" s="948"/>
      <c r="N14" s="948"/>
      <c r="O14" s="948"/>
    </row>
    <row r="15" spans="1:15" s="77" customFormat="1" ht="17.25" customHeight="1">
      <c r="A15" s="1374" t="s">
        <v>23</v>
      </c>
      <c r="B15" s="1375"/>
      <c r="C15" s="1375">
        <f>SUM(C4:C14)</f>
        <v>186437</v>
      </c>
      <c r="D15" s="1375"/>
      <c r="E15" s="1376">
        <f>AVERAGE(E4:E14)</f>
        <v>1.3080660749001176E-2</v>
      </c>
      <c r="F15" s="94"/>
      <c r="H15" s="94"/>
      <c r="I15" s="94"/>
      <c r="J15" s="94"/>
      <c r="K15" s="948"/>
      <c r="L15" s="948"/>
      <c r="M15" s="948"/>
      <c r="N15" s="948"/>
      <c r="O15" s="948"/>
    </row>
    <row r="16" spans="1:15" s="77" customFormat="1">
      <c r="B16" s="94"/>
      <c r="C16" s="94"/>
      <c r="D16" s="94"/>
      <c r="E16" s="94"/>
      <c r="F16" s="94"/>
      <c r="G16" s="94"/>
      <c r="H16" s="94"/>
      <c r="I16" s="94"/>
      <c r="J16" s="94"/>
      <c r="K16" s="948"/>
      <c r="L16" s="948"/>
      <c r="M16" s="948"/>
      <c r="N16" s="948"/>
      <c r="O16" s="948"/>
    </row>
    <row r="17" spans="1:15" s="77" customFormat="1">
      <c r="A17" s="94"/>
      <c r="B17" s="94"/>
      <c r="C17" s="94"/>
      <c r="D17" s="94"/>
      <c r="E17" s="94"/>
      <c r="F17" s="94"/>
      <c r="G17" s="94"/>
      <c r="H17" s="94"/>
      <c r="I17" s="94"/>
      <c r="J17" s="94"/>
      <c r="K17" s="948"/>
      <c r="L17" s="948"/>
      <c r="M17" s="948"/>
      <c r="N17" s="948"/>
      <c r="O17" s="948"/>
    </row>
    <row r="18" spans="1:15" s="77" customFormat="1">
      <c r="A18" s="94"/>
      <c r="B18" s="94"/>
      <c r="C18" s="94"/>
      <c r="D18" s="94"/>
      <c r="E18" s="94"/>
      <c r="F18" s="94"/>
      <c r="G18" s="94"/>
      <c r="H18" s="94"/>
      <c r="I18" s="94"/>
      <c r="J18" s="94"/>
      <c r="K18" s="948"/>
      <c r="L18" s="948"/>
      <c r="M18" s="948"/>
      <c r="N18" s="948"/>
      <c r="O18" s="948"/>
    </row>
    <row r="19" spans="1:15" s="77" customFormat="1">
      <c r="A19" s="94"/>
      <c r="B19" s="94"/>
      <c r="C19" s="94"/>
      <c r="D19" s="94"/>
      <c r="E19" s="94"/>
      <c r="F19" s="94"/>
      <c r="G19" s="94"/>
      <c r="H19" s="94"/>
      <c r="I19" s="94"/>
      <c r="J19" s="94"/>
      <c r="K19" s="948"/>
      <c r="L19" s="948"/>
      <c r="M19" s="948"/>
      <c r="N19" s="948"/>
      <c r="O19" s="948"/>
    </row>
    <row r="20" spans="1:15" s="77" customFormat="1" ht="15.75">
      <c r="A20" s="163">
        <v>100000</v>
      </c>
      <c r="B20" s="94"/>
      <c r="C20" s="94"/>
      <c r="D20" s="94"/>
      <c r="E20" s="94"/>
      <c r="F20" s="94"/>
      <c r="G20" s="94"/>
      <c r="H20" s="94"/>
      <c r="I20" s="94"/>
      <c r="J20" s="94"/>
      <c r="K20" s="948"/>
      <c r="L20" s="948"/>
      <c r="M20" s="948"/>
      <c r="N20" s="948"/>
      <c r="O20" s="948"/>
    </row>
    <row r="21" spans="1:15" s="77" customFormat="1">
      <c r="A21" s="94"/>
      <c r="B21" s="94"/>
      <c r="C21" s="94"/>
      <c r="D21" s="94"/>
      <c r="E21" s="94"/>
      <c r="F21" s="94"/>
      <c r="G21" s="94"/>
      <c r="H21" s="94"/>
      <c r="I21" s="94"/>
      <c r="J21" s="94"/>
      <c r="K21" s="948"/>
      <c r="L21" s="948"/>
      <c r="M21" s="948"/>
      <c r="N21" s="948"/>
      <c r="O21" s="948"/>
    </row>
    <row r="22" spans="1:15" s="77" customFormat="1">
      <c r="A22" s="94"/>
      <c r="B22" s="94"/>
      <c r="C22" s="94"/>
      <c r="D22" s="94"/>
      <c r="E22" s="94"/>
      <c r="F22" s="94"/>
      <c r="G22" s="94"/>
      <c r="H22" s="94"/>
      <c r="I22" s="94"/>
      <c r="J22" s="94"/>
      <c r="K22" s="23"/>
      <c r="L22" s="18"/>
    </row>
    <row r="23" spans="1:15" s="77" customFormat="1">
      <c r="A23" s="94"/>
      <c r="B23" s="94"/>
      <c r="C23" s="94"/>
      <c r="D23" s="94"/>
      <c r="E23" s="94"/>
      <c r="F23" s="94"/>
      <c r="G23" s="94"/>
      <c r="H23" s="94"/>
      <c r="I23" s="94"/>
      <c r="J23" s="94"/>
      <c r="K23" s="23"/>
      <c r="L23" s="23"/>
    </row>
    <row r="24" spans="1:15" s="77" customFormat="1">
      <c r="A24" s="94"/>
      <c r="B24" s="94"/>
      <c r="C24" s="94"/>
      <c r="D24" s="94"/>
      <c r="E24" s="94"/>
      <c r="F24" s="94"/>
      <c r="G24" s="94"/>
      <c r="H24" s="94"/>
      <c r="I24" s="94"/>
      <c r="J24" s="94"/>
      <c r="K24" s="23"/>
      <c r="L24" s="23"/>
    </row>
    <row r="25" spans="1:15" s="77" customFormat="1">
      <c r="A25" s="94"/>
      <c r="B25" s="94"/>
      <c r="C25" s="94"/>
      <c r="D25" s="94"/>
      <c r="E25" s="94"/>
      <c r="F25" s="94"/>
      <c r="G25" s="94"/>
      <c r="H25" s="94"/>
      <c r="I25" s="94"/>
      <c r="J25" s="94"/>
      <c r="K25" s="23"/>
      <c r="L25" s="23"/>
    </row>
    <row r="26" spans="1:15" s="77" customFormat="1">
      <c r="A26" s="94"/>
      <c r="B26" s="94"/>
      <c r="C26" s="94"/>
      <c r="D26" s="94"/>
      <c r="E26" s="94"/>
      <c r="F26" s="94"/>
      <c r="G26" s="94"/>
      <c r="H26" s="94"/>
      <c r="I26" s="94"/>
      <c r="J26" s="94"/>
      <c r="K26" s="23"/>
      <c r="L26" s="23"/>
    </row>
    <row r="27" spans="1:15" s="77" customFormat="1">
      <c r="A27" s="94"/>
      <c r="B27" s="94"/>
      <c r="C27" s="94"/>
      <c r="D27" s="94"/>
      <c r="E27" s="94"/>
      <c r="F27" s="94"/>
      <c r="G27" s="94"/>
      <c r="H27" s="94"/>
      <c r="I27" s="94"/>
      <c r="J27" s="94"/>
      <c r="K27" s="23"/>
      <c r="L27" s="23"/>
    </row>
    <row r="28" spans="1:15" s="77" customFormat="1">
      <c r="A28" s="94"/>
      <c r="B28" s="94"/>
      <c r="C28" s="94"/>
      <c r="D28" s="94"/>
      <c r="E28" s="94"/>
      <c r="F28" s="94"/>
      <c r="G28" s="94"/>
      <c r="H28" s="94"/>
      <c r="I28" s="94"/>
      <c r="J28" s="94"/>
      <c r="K28" s="23"/>
      <c r="L28" s="23"/>
      <c r="M28" s="18"/>
    </row>
    <row r="29" spans="1:15" s="77" customFormat="1">
      <c r="A29" s="94"/>
      <c r="B29" s="94"/>
      <c r="C29" s="94"/>
      <c r="D29" s="94"/>
      <c r="E29" s="94"/>
      <c r="F29" s="94"/>
      <c r="G29" s="94"/>
      <c r="H29" s="94"/>
      <c r="I29" s="94"/>
      <c r="J29" s="94"/>
      <c r="K29" s="23"/>
      <c r="L29" s="23"/>
    </row>
    <row r="30" spans="1:15" s="77" customFormat="1">
      <c r="A30" s="94"/>
      <c r="B30" s="94"/>
      <c r="C30" s="94"/>
      <c r="D30" s="94"/>
      <c r="E30" s="94"/>
      <c r="F30" s="94"/>
      <c r="G30" s="94"/>
      <c r="H30" s="94"/>
      <c r="I30" s="94"/>
      <c r="J30" s="94"/>
      <c r="K30" s="23"/>
      <c r="L30" s="23"/>
    </row>
    <row r="31" spans="1:15" s="77" customFormat="1">
      <c r="A31" s="94"/>
      <c r="B31" s="94"/>
      <c r="C31" s="94"/>
      <c r="D31" s="94"/>
      <c r="E31" s="94"/>
      <c r="F31" s="94"/>
      <c r="G31" s="94"/>
      <c r="H31" s="94"/>
      <c r="I31" s="94"/>
      <c r="J31" s="94"/>
      <c r="K31" s="23"/>
      <c r="L31" s="23"/>
    </row>
    <row r="32" spans="1:15" s="77" customFormat="1">
      <c r="A32" s="94"/>
      <c r="B32" s="94"/>
      <c r="C32" s="94"/>
      <c r="D32" s="94"/>
      <c r="E32" s="94"/>
      <c r="F32" s="94"/>
      <c r="G32" s="94"/>
      <c r="H32" s="94"/>
      <c r="I32" s="94"/>
      <c r="J32" s="94"/>
      <c r="K32" s="23"/>
      <c r="L32" s="23"/>
    </row>
    <row r="33" spans="1:12" s="77" customFormat="1">
      <c r="A33" s="94"/>
      <c r="B33" s="94"/>
      <c r="C33" s="94"/>
      <c r="D33" s="94"/>
      <c r="E33" s="94"/>
      <c r="F33" s="94"/>
      <c r="G33" s="94"/>
      <c r="H33" s="94"/>
      <c r="I33" s="94"/>
      <c r="J33" s="94"/>
      <c r="K33" s="23"/>
      <c r="L33" s="23"/>
    </row>
    <row r="34" spans="1:12" s="77" customFormat="1">
      <c r="A34" s="94"/>
      <c r="B34" s="94"/>
      <c r="C34" s="94"/>
      <c r="D34" s="94"/>
      <c r="E34" s="94"/>
      <c r="F34" s="94"/>
      <c r="G34" s="94"/>
      <c r="H34" s="94"/>
      <c r="I34" s="94"/>
      <c r="J34" s="94"/>
      <c r="K34" s="23"/>
      <c r="L34" s="23"/>
    </row>
    <row r="35" spans="1:12" s="77" customFormat="1">
      <c r="A35" s="94"/>
      <c r="B35" s="94"/>
      <c r="C35" s="94"/>
      <c r="D35" s="94"/>
      <c r="E35" s="94"/>
      <c r="F35" s="94"/>
      <c r="G35" s="94"/>
      <c r="H35" s="94"/>
      <c r="I35" s="94"/>
      <c r="J35" s="94"/>
      <c r="K35" s="23"/>
      <c r="L35" s="23"/>
    </row>
    <row r="36" spans="1:12" s="77" customFormat="1">
      <c r="A36" s="94"/>
      <c r="B36" s="94"/>
      <c r="C36" s="94"/>
      <c r="D36" s="94"/>
      <c r="E36" s="94"/>
      <c r="F36" s="94"/>
      <c r="G36" s="94"/>
      <c r="H36" s="94"/>
      <c r="I36" s="94"/>
      <c r="J36" s="94"/>
    </row>
    <row r="37" spans="1:12" s="77" customFormat="1">
      <c r="A37" s="94"/>
      <c r="B37" s="94"/>
      <c r="C37" s="94"/>
      <c r="D37" s="94"/>
      <c r="E37" s="94"/>
      <c r="F37" s="94"/>
      <c r="G37" s="94"/>
      <c r="H37" s="94"/>
      <c r="I37" s="94"/>
      <c r="J37" s="94"/>
    </row>
    <row r="38" spans="1:12" s="77" customFormat="1">
      <c r="A38" s="94"/>
      <c r="B38" s="94"/>
      <c r="C38" s="94"/>
      <c r="D38" s="94"/>
      <c r="E38" s="94"/>
      <c r="F38" s="94"/>
      <c r="G38" s="94"/>
      <c r="H38" s="94"/>
      <c r="I38" s="94"/>
      <c r="J38" s="94"/>
    </row>
    <row r="39" spans="1:12" s="77" customFormat="1">
      <c r="A39" s="94"/>
      <c r="B39" s="94"/>
      <c r="C39" s="94"/>
      <c r="D39" s="94"/>
      <c r="E39" s="94"/>
      <c r="F39" s="94"/>
      <c r="G39" s="94"/>
      <c r="H39" s="94"/>
      <c r="I39" s="94"/>
      <c r="J39" s="94"/>
    </row>
    <row r="40" spans="1:12" s="77" customFormat="1">
      <c r="A40" s="94"/>
      <c r="B40" s="94"/>
      <c r="C40" s="94"/>
      <c r="D40" s="94"/>
      <c r="E40" s="94"/>
      <c r="F40" s="94"/>
      <c r="G40" s="94"/>
      <c r="H40" s="94"/>
      <c r="I40" s="94"/>
      <c r="J40" s="94"/>
    </row>
    <row r="41" spans="1:12" s="77" customFormat="1">
      <c r="A41" s="94"/>
      <c r="B41" s="94"/>
      <c r="C41" s="94"/>
      <c r="D41" s="94"/>
      <c r="E41" s="94"/>
      <c r="F41" s="94"/>
      <c r="G41" s="94"/>
      <c r="H41" s="94"/>
      <c r="I41" s="94"/>
      <c r="J41" s="94"/>
    </row>
    <row r="42" spans="1:12" s="77" customFormat="1">
      <c r="A42" s="94"/>
      <c r="B42" s="94"/>
      <c r="C42" s="94"/>
      <c r="D42" s="94"/>
      <c r="E42" s="94"/>
      <c r="F42" s="94"/>
      <c r="G42" s="94"/>
      <c r="H42" s="94"/>
      <c r="I42" s="94"/>
      <c r="J42" s="94"/>
    </row>
    <row r="43" spans="1:12" s="77" customFormat="1">
      <c r="A43" s="94"/>
      <c r="B43" s="94"/>
      <c r="C43" s="94"/>
      <c r="D43" s="94"/>
      <c r="E43" s="94"/>
      <c r="F43" s="94"/>
      <c r="G43" s="94"/>
      <c r="H43" s="94"/>
      <c r="I43" s="94"/>
      <c r="J43" s="94"/>
    </row>
    <row r="44" spans="1:12" s="77" customFormat="1">
      <c r="A44" s="94"/>
      <c r="B44" s="94"/>
      <c r="C44" s="94"/>
      <c r="D44" s="94"/>
      <c r="E44" s="94"/>
      <c r="F44" s="94"/>
      <c r="G44" s="94"/>
      <c r="H44" s="94"/>
      <c r="I44" s="94"/>
      <c r="J44" s="94"/>
    </row>
    <row r="45" spans="1:12" s="77" customFormat="1">
      <c r="A45" s="94"/>
      <c r="B45" s="94"/>
      <c r="C45" s="94"/>
      <c r="D45" s="94"/>
      <c r="E45" s="94"/>
      <c r="F45" s="94"/>
      <c r="G45" s="94"/>
      <c r="H45" s="94"/>
      <c r="I45" s="94"/>
      <c r="J45" s="94"/>
    </row>
    <row r="46" spans="1:12" s="77" customFormat="1"/>
    <row r="47" spans="1:12" s="77" customFormat="1"/>
    <row r="48" spans="1:12" s="77" customFormat="1"/>
    <row r="49" s="77" customFormat="1"/>
    <row r="50" s="77" customFormat="1"/>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
  <sheetViews>
    <sheetView showGridLines="0" view="pageBreakPreview" zoomScaleNormal="100" zoomScaleSheetLayoutView="100" workbookViewId="0">
      <selection activeCell="O26" sqref="O26"/>
    </sheetView>
  </sheetViews>
  <sheetFormatPr baseColWidth="10" defaultColWidth="11.42578125" defaultRowHeight="15"/>
  <cols>
    <col min="1" max="6" width="11.42578125" style="77"/>
    <col min="7" max="7" width="8.85546875" style="77" customWidth="1"/>
    <col min="8" max="8" width="11.42578125" style="77"/>
    <col min="9" max="9" width="7.85546875" style="77" customWidth="1"/>
    <col min="10" max="10" width="7" style="77" customWidth="1"/>
    <col min="11" max="11" width="5.85546875" style="77" customWidth="1"/>
    <col min="12" max="16384" width="11.42578125" style="77"/>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6"/>
  <sheetViews>
    <sheetView showGridLines="0" view="pageBreakPreview" zoomScale="70" zoomScaleNormal="100" zoomScaleSheetLayoutView="70" workbookViewId="0">
      <selection activeCell="Q37" sqref="Q37"/>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
  <sheetViews>
    <sheetView showGridLines="0" view="pageBreakPreview" zoomScale="85" zoomScaleNormal="100" zoomScaleSheetLayoutView="85" workbookViewId="0">
      <selection activeCell="P11" sqref="P11"/>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F5:O48"/>
  <sheetViews>
    <sheetView showGridLines="0" view="pageBreakPreview" zoomScale="85" zoomScaleNormal="100" zoomScaleSheetLayoutView="85" workbookViewId="0">
      <selection activeCell="G40" sqref="G40"/>
    </sheetView>
  </sheetViews>
  <sheetFormatPr baseColWidth="10" defaultColWidth="11.42578125" defaultRowHeight="15"/>
  <cols>
    <col min="1" max="5" width="11.42578125" style="77"/>
    <col min="6" max="6" width="18.85546875" style="77" customWidth="1"/>
    <col min="7" max="7" width="10.7109375" style="77" customWidth="1"/>
    <col min="8" max="8" width="15" style="77" customWidth="1"/>
    <col min="9" max="9" width="14.140625" style="77" customWidth="1"/>
    <col min="10" max="10" width="10.42578125" style="77" customWidth="1"/>
    <col min="11" max="12" width="13.140625" style="77" customWidth="1"/>
    <col min="13" max="13" width="20.5703125" style="77" customWidth="1"/>
    <col min="14" max="16384" width="11.42578125" style="77"/>
  </cols>
  <sheetData>
    <row r="5" ht="9" customHeight="1"/>
    <row r="28" spans="13:15">
      <c r="O28" s="165"/>
    </row>
    <row r="29" spans="13:15">
      <c r="M29" s="284"/>
    </row>
    <row r="32" spans="13:15">
      <c r="O32" s="284"/>
    </row>
    <row r="34" spans="6:15" ht="21" customHeight="1"/>
    <row r="38" spans="6:15">
      <c r="O38" s="284"/>
    </row>
    <row r="39" spans="6:15">
      <c r="O39" s="284"/>
    </row>
    <row r="41" spans="6:15">
      <c r="J41" s="284"/>
    </row>
    <row r="48" spans="6:15" ht="15.75">
      <c r="F48" s="549"/>
    </row>
  </sheetData>
  <pageMargins left="0.70866141732283472" right="0.70866141732283472" top="0.74803149606299213" bottom="0.74803149606299213" header="0.31496062992125984" footer="0.31496062992125984"/>
  <pageSetup scale="8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view="pageBreakPreview" zoomScale="85" zoomScaleNormal="100" zoomScaleSheetLayoutView="85" workbookViewId="0">
      <selection activeCell="G43" sqref="G43:G46"/>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Q42"/>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I24" sqref="I24"/>
    </sheetView>
  </sheetViews>
  <sheetFormatPr baseColWidth="10" defaultColWidth="11.42578125" defaultRowHeight="15"/>
  <cols>
    <col min="1" max="1" width="15" style="77" customWidth="1"/>
    <col min="2" max="2" width="22.42578125" style="77" customWidth="1"/>
    <col min="3" max="3" width="23.7109375" style="77" customWidth="1"/>
    <col min="4" max="4" width="24.7109375" style="77" customWidth="1"/>
    <col min="5" max="5" width="19.85546875" style="77" customWidth="1"/>
    <col min="6" max="6" width="21.140625" style="77" customWidth="1"/>
    <col min="7" max="7" width="24.42578125" style="77" customWidth="1"/>
    <col min="8" max="8" width="26.28515625" style="77" customWidth="1"/>
    <col min="9" max="9" width="24.42578125" style="77" customWidth="1"/>
    <col min="10" max="10" width="22" style="77" customWidth="1"/>
    <col min="11" max="11" width="22.5703125" style="77" customWidth="1"/>
    <col min="12" max="12" width="24.140625" style="77" customWidth="1"/>
    <col min="13" max="13" width="24.85546875" style="77" customWidth="1"/>
    <col min="14" max="14" width="24" style="77" customWidth="1"/>
    <col min="15" max="15" width="22.7109375" style="77" customWidth="1"/>
    <col min="16" max="16" width="25.28515625" style="77" customWidth="1"/>
    <col min="17" max="19" width="11.42578125" style="77"/>
    <col min="20" max="20" width="39.42578125" style="77" customWidth="1"/>
    <col min="21" max="16384" width="11.42578125" style="77"/>
  </cols>
  <sheetData>
    <row r="1" spans="1:17" ht="90" customHeight="1">
      <c r="A1" s="1837"/>
      <c r="B1" s="1837"/>
      <c r="C1" s="1837"/>
      <c r="D1" s="1837"/>
      <c r="E1" s="1837"/>
      <c r="F1" s="1837"/>
      <c r="G1" s="1837"/>
      <c r="H1" s="1837"/>
      <c r="I1" s="1837"/>
      <c r="J1" s="1837"/>
      <c r="K1" s="1837"/>
      <c r="L1" s="1837"/>
      <c r="M1" s="1837"/>
      <c r="N1" s="1837"/>
      <c r="O1" s="1837"/>
      <c r="P1" s="194"/>
      <c r="Q1" s="94"/>
    </row>
    <row r="2" spans="1:17" ht="9" customHeight="1">
      <c r="A2" s="1922" t="s">
        <v>640</v>
      </c>
      <c r="B2" s="1922"/>
      <c r="C2" s="1922"/>
      <c r="D2" s="1922"/>
      <c r="E2" s="1922"/>
      <c r="F2" s="1922"/>
      <c r="G2" s="1922"/>
      <c r="H2" s="1922"/>
      <c r="I2" s="1922"/>
      <c r="J2" s="1922"/>
      <c r="K2" s="1922"/>
      <c r="L2" s="1922"/>
      <c r="M2" s="1922"/>
      <c r="N2" s="1922"/>
      <c r="O2" s="1922"/>
    </row>
    <row r="3" spans="1:17" s="142" customFormat="1" ht="26.25" customHeight="1">
      <c r="A3" s="1923" t="s">
        <v>0</v>
      </c>
      <c r="B3" s="1925" t="s">
        <v>454</v>
      </c>
      <c r="C3" s="1925"/>
      <c r="D3" s="1925"/>
      <c r="E3" s="1925"/>
      <c r="F3" s="1925"/>
      <c r="G3" s="1925"/>
      <c r="H3" s="1926" t="s">
        <v>455</v>
      </c>
      <c r="I3" s="1927"/>
      <c r="J3" s="1927"/>
      <c r="K3" s="1928"/>
    </row>
    <row r="4" spans="1:17" s="142" customFormat="1" ht="65.25" customHeight="1">
      <c r="A4" s="1924"/>
      <c r="B4" s="554" t="s">
        <v>940</v>
      </c>
      <c r="C4" s="334" t="s">
        <v>939</v>
      </c>
      <c r="D4" s="334" t="s">
        <v>724</v>
      </c>
      <c r="E4" s="334" t="s">
        <v>733</v>
      </c>
      <c r="F4" s="334" t="s">
        <v>728</v>
      </c>
      <c r="G4" s="561" t="s">
        <v>456</v>
      </c>
      <c r="H4" s="554" t="s">
        <v>725</v>
      </c>
      <c r="I4" s="334" t="s">
        <v>726</v>
      </c>
      <c r="J4" s="334" t="s">
        <v>727</v>
      </c>
      <c r="K4" s="561" t="s">
        <v>457</v>
      </c>
      <c r="L4" s="554" t="s">
        <v>759</v>
      </c>
      <c r="M4" s="334" t="s">
        <v>469</v>
      </c>
      <c r="N4" s="335" t="s">
        <v>760</v>
      </c>
      <c r="O4" s="243"/>
    </row>
    <row r="5" spans="1:17" s="142" customFormat="1" ht="15.75">
      <c r="A5" s="551">
        <v>2003</v>
      </c>
      <c r="B5" s="1654">
        <v>1839323722.0100002</v>
      </c>
      <c r="C5" s="1654">
        <v>50000000</v>
      </c>
      <c r="D5" s="1654">
        <v>0</v>
      </c>
      <c r="E5" s="1654">
        <v>0</v>
      </c>
      <c r="F5" s="1654">
        <v>0</v>
      </c>
      <c r="G5" s="1463">
        <f>+C5+B5+D5+E5+F5</f>
        <v>1889323722.0100002</v>
      </c>
      <c r="H5" s="1457">
        <v>1813713639.8399999</v>
      </c>
      <c r="I5" s="1453">
        <v>50652652.469999999</v>
      </c>
      <c r="J5" s="1453">
        <v>0</v>
      </c>
      <c r="K5" s="1827">
        <f>+I5+H5+J5</f>
        <v>1864366292.3099999</v>
      </c>
      <c r="L5" s="555">
        <f t="shared" ref="L5:L17" si="0">+B5-H5</f>
        <v>25610082.170000315</v>
      </c>
      <c r="M5" s="549">
        <f>+G5-K5</f>
        <v>24957429.700000286</v>
      </c>
      <c r="N5" s="550">
        <f>C5-I5</f>
        <v>-652652.46999999881</v>
      </c>
      <c r="O5" s="243"/>
    </row>
    <row r="6" spans="1:17" s="142" customFormat="1" ht="15.75">
      <c r="A6" s="551">
        <v>2004</v>
      </c>
      <c r="B6" s="1654">
        <v>7420447711.6900005</v>
      </c>
      <c r="C6" s="1654">
        <v>100013332.31999999</v>
      </c>
      <c r="D6" s="1654">
        <v>0</v>
      </c>
      <c r="E6" s="1654">
        <v>0</v>
      </c>
      <c r="F6" s="1654">
        <v>0</v>
      </c>
      <c r="G6" s="1463">
        <f>+C6+B6+D6+E6+F6</f>
        <v>7520461044.0100002</v>
      </c>
      <c r="H6" s="1457">
        <v>7307971772.0699987</v>
      </c>
      <c r="I6" s="1453">
        <v>103813912.38</v>
      </c>
      <c r="J6" s="1453">
        <v>0</v>
      </c>
      <c r="K6" s="1827">
        <f>+I6+H6+J6</f>
        <v>7411785684.4499989</v>
      </c>
      <c r="L6" s="555">
        <f t="shared" si="0"/>
        <v>112475939.62000179</v>
      </c>
      <c r="M6" s="549">
        <f t="shared" ref="M6:M17" si="1">+G6-K6</f>
        <v>108675359.56000137</v>
      </c>
      <c r="N6" s="550">
        <f t="shared" ref="N6:N17" si="2">C6-I6</f>
        <v>-3800580.0600000024</v>
      </c>
      <c r="O6" s="243"/>
    </row>
    <row r="7" spans="1:17" s="142" customFormat="1" ht="15.75">
      <c r="A7" s="551">
        <v>2005</v>
      </c>
      <c r="B7" s="1654">
        <v>9658178373.5399971</v>
      </c>
      <c r="C7" s="1654">
        <v>604604920.63</v>
      </c>
      <c r="D7" s="1654">
        <v>0</v>
      </c>
      <c r="E7" s="1654">
        <v>0</v>
      </c>
      <c r="F7" s="1654">
        <v>0</v>
      </c>
      <c r="G7" s="1463">
        <f t="shared" ref="G7:G17" si="3">+C7+B7+D7+E7+F7</f>
        <v>10262783294.169996</v>
      </c>
      <c r="H7" s="1457">
        <v>9649957865.664959</v>
      </c>
      <c r="I7" s="1453">
        <v>203608914.68000001</v>
      </c>
      <c r="J7" s="1453">
        <v>0</v>
      </c>
      <c r="K7" s="1827">
        <f t="shared" ref="K7:K17" si="4">+I7+H7+J7</f>
        <v>9853566780.3449593</v>
      </c>
      <c r="L7" s="555">
        <f t="shared" si="0"/>
        <v>8220507.875038147</v>
      </c>
      <c r="M7" s="549">
        <f t="shared" si="1"/>
        <v>409216513.825037</v>
      </c>
      <c r="N7" s="550">
        <f t="shared" si="2"/>
        <v>400996005.94999999</v>
      </c>
      <c r="O7" s="243"/>
    </row>
    <row r="8" spans="1:17" s="142" customFormat="1" ht="15.75">
      <c r="A8" s="551">
        <v>2006</v>
      </c>
      <c r="B8" s="1654">
        <v>11072100417.48</v>
      </c>
      <c r="C8" s="1654">
        <v>724509996.65999997</v>
      </c>
      <c r="D8" s="1654">
        <v>0</v>
      </c>
      <c r="E8" s="1654">
        <v>0</v>
      </c>
      <c r="F8" s="1654">
        <v>0</v>
      </c>
      <c r="G8" s="1463">
        <f t="shared" si="3"/>
        <v>11796610414.139999</v>
      </c>
      <c r="H8" s="1457">
        <v>10992104977.92</v>
      </c>
      <c r="I8" s="1453">
        <v>816768960.5</v>
      </c>
      <c r="J8" s="1453">
        <v>0</v>
      </c>
      <c r="K8" s="1827">
        <f t="shared" si="4"/>
        <v>11808873938.42</v>
      </c>
      <c r="L8" s="555">
        <f t="shared" si="0"/>
        <v>79995439.559999466</v>
      </c>
      <c r="M8" s="549">
        <f t="shared" si="1"/>
        <v>-12263524.280000687</v>
      </c>
      <c r="N8" s="550">
        <f t="shared" si="2"/>
        <v>-92258963.840000033</v>
      </c>
      <c r="O8" s="243"/>
    </row>
    <row r="9" spans="1:17" s="142" customFormat="1" ht="15.75">
      <c r="A9" s="551">
        <v>2007</v>
      </c>
      <c r="B9" s="1654">
        <v>21196634534.599998</v>
      </c>
      <c r="C9" s="1654">
        <v>1566425499.9599998</v>
      </c>
      <c r="D9" s="1654">
        <v>6163525.5899999999</v>
      </c>
      <c r="E9" s="1654">
        <v>125000000</v>
      </c>
      <c r="F9" s="1654">
        <v>0</v>
      </c>
      <c r="G9" s="1463">
        <f t="shared" si="3"/>
        <v>22894223560.149998</v>
      </c>
      <c r="H9" s="1457">
        <v>19449421024.499001</v>
      </c>
      <c r="I9" s="1453">
        <v>1578880050.26</v>
      </c>
      <c r="J9" s="1453">
        <v>0</v>
      </c>
      <c r="K9" s="1827">
        <f t="shared" si="4"/>
        <v>21028301074.758999</v>
      </c>
      <c r="L9" s="555">
        <f t="shared" si="0"/>
        <v>1747213510.1009979</v>
      </c>
      <c r="M9" s="549">
        <f t="shared" si="1"/>
        <v>1865922485.3909988</v>
      </c>
      <c r="N9" s="550">
        <f t="shared" si="2"/>
        <v>-12454550.300000191</v>
      </c>
      <c r="O9" s="243"/>
    </row>
    <row r="10" spans="1:17" s="142" customFormat="1" ht="15.75">
      <c r="A10" s="551">
        <v>2008</v>
      </c>
      <c r="B10" s="1654">
        <v>33078165051.270004</v>
      </c>
      <c r="C10" s="1654">
        <v>2203585531</v>
      </c>
      <c r="D10" s="1654">
        <v>173508720.10999998</v>
      </c>
      <c r="E10" s="1654">
        <v>256250000</v>
      </c>
      <c r="F10" s="1654">
        <v>0</v>
      </c>
      <c r="G10" s="1463">
        <f t="shared" si="3"/>
        <v>35711509302.380005</v>
      </c>
      <c r="H10" s="1457">
        <v>30384608580.630005</v>
      </c>
      <c r="I10" s="1453">
        <v>2556770326.0999999</v>
      </c>
      <c r="J10" s="1453">
        <v>0</v>
      </c>
      <c r="K10" s="1827">
        <f t="shared" si="4"/>
        <v>32941378906.730003</v>
      </c>
      <c r="L10" s="555">
        <f t="shared" si="0"/>
        <v>2693556470.6399994</v>
      </c>
      <c r="M10" s="549">
        <f t="shared" si="1"/>
        <v>2770130395.6500015</v>
      </c>
      <c r="N10" s="550">
        <f t="shared" si="2"/>
        <v>-353184795.0999999</v>
      </c>
      <c r="O10" s="243"/>
    </row>
    <row r="11" spans="1:17" s="142" customFormat="1" ht="15.75">
      <c r="A11" s="551">
        <v>2009</v>
      </c>
      <c r="B11" s="1654">
        <v>37872770644.519997</v>
      </c>
      <c r="C11" s="1654">
        <v>3190675855.0100002</v>
      </c>
      <c r="D11" s="1654">
        <v>607585089.5999999</v>
      </c>
      <c r="E11" s="1654">
        <v>18750000</v>
      </c>
      <c r="F11" s="1654">
        <v>178872817.62</v>
      </c>
      <c r="G11" s="1463">
        <f t="shared" si="3"/>
        <v>41868654406.75</v>
      </c>
      <c r="H11" s="1457">
        <v>36497964610.739998</v>
      </c>
      <c r="I11" s="1453">
        <v>2723337644.3600001</v>
      </c>
      <c r="J11" s="1453">
        <v>0</v>
      </c>
      <c r="K11" s="1827">
        <f t="shared" si="4"/>
        <v>39221302255.099998</v>
      </c>
      <c r="L11" s="555">
        <f t="shared" si="0"/>
        <v>1374806033.7799988</v>
      </c>
      <c r="M11" s="549">
        <f t="shared" si="1"/>
        <v>2647352151.6500015</v>
      </c>
      <c r="N11" s="550">
        <f t="shared" si="2"/>
        <v>467338210.6500001</v>
      </c>
      <c r="O11" s="243"/>
    </row>
    <row r="12" spans="1:17" s="142" customFormat="1" ht="15.75">
      <c r="A12" s="551">
        <v>2010</v>
      </c>
      <c r="B12" s="1654">
        <v>43605006094</v>
      </c>
      <c r="C12" s="1654">
        <v>3736675849.46</v>
      </c>
      <c r="D12" s="1654">
        <v>596693837.95999992</v>
      </c>
      <c r="E12" s="1654">
        <v>0</v>
      </c>
      <c r="F12" s="1654">
        <v>95767339.469999999</v>
      </c>
      <c r="G12" s="1463">
        <f t="shared" si="3"/>
        <v>48034143120.889999</v>
      </c>
      <c r="H12" s="1457">
        <v>47159091999.259995</v>
      </c>
      <c r="I12" s="1453">
        <v>3444380482.9799995</v>
      </c>
      <c r="J12" s="1453">
        <v>115952658.19999999</v>
      </c>
      <c r="K12" s="1827">
        <f t="shared" si="4"/>
        <v>50719425140.439987</v>
      </c>
      <c r="L12" s="555">
        <f t="shared" si="0"/>
        <v>-3554085905.2599945</v>
      </c>
      <c r="M12" s="549">
        <f t="shared" si="1"/>
        <v>-2685282019.5499878</v>
      </c>
      <c r="N12" s="550">
        <f t="shared" si="2"/>
        <v>292295366.4800005</v>
      </c>
      <c r="O12" s="540"/>
    </row>
    <row r="13" spans="1:17" s="142" customFormat="1" ht="15.75">
      <c r="A13" s="551">
        <v>2011</v>
      </c>
      <c r="B13" s="1654">
        <v>49415884815.839996</v>
      </c>
      <c r="C13" s="1654">
        <v>4134675852</v>
      </c>
      <c r="D13" s="1654">
        <v>679951152.83999991</v>
      </c>
      <c r="E13" s="1654">
        <v>0</v>
      </c>
      <c r="F13" s="1654">
        <v>320281085.42000002</v>
      </c>
      <c r="G13" s="1463">
        <f t="shared" si="3"/>
        <v>54550792906.099991</v>
      </c>
      <c r="H13" s="1457">
        <v>49687029143.730011</v>
      </c>
      <c r="I13" s="1453">
        <v>4363872025.0799999</v>
      </c>
      <c r="J13" s="1453">
        <v>291946073.39999998</v>
      </c>
      <c r="K13" s="1827">
        <f t="shared" si="4"/>
        <v>54342847242.210014</v>
      </c>
      <c r="L13" s="555">
        <f t="shared" si="0"/>
        <v>-271144327.89001465</v>
      </c>
      <c r="M13" s="549">
        <f t="shared" si="1"/>
        <v>207945663.8899765</v>
      </c>
      <c r="N13" s="550">
        <f t="shared" si="2"/>
        <v>-229196173.07999992</v>
      </c>
      <c r="O13" s="540"/>
    </row>
    <row r="14" spans="1:17" s="142" customFormat="1" ht="15.75">
      <c r="A14" s="551">
        <v>2012</v>
      </c>
      <c r="B14" s="1655">
        <v>55065532307.990005</v>
      </c>
      <c r="C14" s="1655">
        <v>4599999999.96</v>
      </c>
      <c r="D14" s="1655">
        <v>728182337.74000013</v>
      </c>
      <c r="E14" s="1655">
        <v>0</v>
      </c>
      <c r="F14" s="1655">
        <v>349151178.95999998</v>
      </c>
      <c r="G14" s="1463">
        <f t="shared" si="3"/>
        <v>60742865824.650002</v>
      </c>
      <c r="H14" s="1457">
        <v>56015800379.699997</v>
      </c>
      <c r="I14" s="1453">
        <v>4742082647.7799997</v>
      </c>
      <c r="J14" s="1453">
        <v>331635794.92000002</v>
      </c>
      <c r="K14" s="1827">
        <f t="shared" si="4"/>
        <v>61089518822.399994</v>
      </c>
      <c r="L14" s="555">
        <f t="shared" si="0"/>
        <v>-950268071.70999146</v>
      </c>
      <c r="M14" s="549">
        <f t="shared" si="1"/>
        <v>-346652997.74999237</v>
      </c>
      <c r="N14" s="550">
        <f t="shared" si="2"/>
        <v>-142082647.81999969</v>
      </c>
      <c r="O14" s="540"/>
    </row>
    <row r="15" spans="1:17" s="142" customFormat="1" ht="15.75">
      <c r="A15" s="551">
        <v>2013</v>
      </c>
      <c r="B15" s="1655">
        <v>61483003598.400002</v>
      </c>
      <c r="C15" s="1655">
        <v>5302610000</v>
      </c>
      <c r="D15" s="1655">
        <v>559930432.66000009</v>
      </c>
      <c r="E15" s="1655">
        <v>0</v>
      </c>
      <c r="F15" s="1655">
        <v>362641633.79000002</v>
      </c>
      <c r="G15" s="1463">
        <f t="shared" si="3"/>
        <v>67708185664.850006</v>
      </c>
      <c r="H15" s="1457">
        <v>62148659498.759995</v>
      </c>
      <c r="I15" s="1453">
        <v>5215203784.9399996</v>
      </c>
      <c r="J15" s="1453">
        <v>333800248.55999994</v>
      </c>
      <c r="K15" s="1827">
        <f t="shared" si="4"/>
        <v>67697663532.259995</v>
      </c>
      <c r="L15" s="555">
        <f t="shared" si="0"/>
        <v>-665655900.35999298</v>
      </c>
      <c r="M15" s="549">
        <f t="shared" si="1"/>
        <v>10522132.590011597</v>
      </c>
      <c r="N15" s="550">
        <f t="shared" si="2"/>
        <v>87406215.06000042</v>
      </c>
      <c r="O15" s="540"/>
    </row>
    <row r="16" spans="1:17" s="142" customFormat="1" ht="15.75">
      <c r="A16" s="551">
        <v>2014</v>
      </c>
      <c r="B16" s="1655">
        <v>69920892914.539993</v>
      </c>
      <c r="C16" s="1655">
        <v>6839999499</v>
      </c>
      <c r="D16" s="1655">
        <v>507180541.32000005</v>
      </c>
      <c r="E16" s="1655">
        <v>0</v>
      </c>
      <c r="F16" s="1655">
        <v>355808488.19</v>
      </c>
      <c r="G16" s="1463">
        <f t="shared" si="3"/>
        <v>77623881443.050003</v>
      </c>
      <c r="H16" s="1457">
        <v>70212118559.800003</v>
      </c>
      <c r="I16" s="1453">
        <v>7378610518.96</v>
      </c>
      <c r="J16" s="1453">
        <v>329249337.19999999</v>
      </c>
      <c r="K16" s="1827">
        <f t="shared" si="4"/>
        <v>77919978415.960007</v>
      </c>
      <c r="L16" s="555">
        <f t="shared" si="0"/>
        <v>-291225645.26000977</v>
      </c>
      <c r="M16" s="549">
        <f t="shared" si="1"/>
        <v>-296096972.91000366</v>
      </c>
      <c r="N16" s="550">
        <f t="shared" si="2"/>
        <v>-538611019.96000004</v>
      </c>
      <c r="O16" s="540"/>
    </row>
    <row r="17" spans="1:16" s="1118" customFormat="1" ht="15.75">
      <c r="A17" s="551" t="s">
        <v>949</v>
      </c>
      <c r="B17" s="1655">
        <v>37826085500.649994</v>
      </c>
      <c r="C17" s="1655">
        <v>3146732398</v>
      </c>
      <c r="D17" s="1655">
        <v>245909728.18000001</v>
      </c>
      <c r="E17" s="1655">
        <v>0</v>
      </c>
      <c r="F17" s="1655">
        <v>177671368.11999997</v>
      </c>
      <c r="G17" s="1463">
        <f t="shared" si="3"/>
        <v>41396398994.949997</v>
      </c>
      <c r="H17" s="1457">
        <v>37775371444.509995</v>
      </c>
      <c r="I17" s="1453">
        <v>3102022919.7600002</v>
      </c>
      <c r="J17" s="1453">
        <v>167965296.19999999</v>
      </c>
      <c r="K17" s="1827">
        <f t="shared" si="4"/>
        <v>41045359660.469994</v>
      </c>
      <c r="L17" s="555">
        <f t="shared" si="0"/>
        <v>50714056.13999939</v>
      </c>
      <c r="M17" s="549">
        <f t="shared" si="1"/>
        <v>351039334.48000336</v>
      </c>
      <c r="N17" s="550">
        <f t="shared" si="2"/>
        <v>44709478.239999771</v>
      </c>
      <c r="O17" s="1117"/>
      <c r="P17" s="142"/>
    </row>
    <row r="18" spans="1:16" s="223" customFormat="1" ht="18.75" customHeight="1">
      <c r="A18" s="548" t="s">
        <v>143</v>
      </c>
      <c r="B18" s="552">
        <f>SUM(B5:B17)</f>
        <v>439454025686.53003</v>
      </c>
      <c r="C18" s="552">
        <f t="shared" ref="C18:M18" si="5">SUM(C5:C17)</f>
        <v>36200508734</v>
      </c>
      <c r="D18" s="552">
        <f t="shared" si="5"/>
        <v>4105105366</v>
      </c>
      <c r="E18" s="552">
        <f t="shared" si="5"/>
        <v>400000000</v>
      </c>
      <c r="F18" s="552">
        <f t="shared" si="5"/>
        <v>1840193911.5699999</v>
      </c>
      <c r="G18" s="1456">
        <f>SUM(G5:G17)</f>
        <v>481999833698.09998</v>
      </c>
      <c r="H18" s="553">
        <f t="shared" si="5"/>
        <v>439093813497.12396</v>
      </c>
      <c r="I18" s="552">
        <f t="shared" si="5"/>
        <v>36280004840.25</v>
      </c>
      <c r="J18" s="552">
        <f t="shared" si="5"/>
        <v>1570549408.48</v>
      </c>
      <c r="K18" s="1456">
        <f t="shared" si="5"/>
        <v>476944367745.85394</v>
      </c>
      <c r="L18" s="552">
        <f t="shared" si="5"/>
        <v>360212189.40603161</v>
      </c>
      <c r="M18" s="552">
        <f t="shared" si="5"/>
        <v>5055465952.246048</v>
      </c>
      <c r="N18" s="552">
        <f>SUM(N5:N17)</f>
        <v>-79496106.249999046</v>
      </c>
      <c r="O18" s="541"/>
      <c r="P18" s="541"/>
    </row>
    <row r="19" spans="1:16">
      <c r="C19" s="1093"/>
      <c r="D19" s="9"/>
      <c r="E19" s="9"/>
      <c r="F19" s="9"/>
      <c r="G19" s="9"/>
      <c r="H19" s="9"/>
      <c r="I19" s="9"/>
      <c r="J19" s="195"/>
      <c r="K19" s="1"/>
      <c r="L19" s="1"/>
      <c r="M19" s="1"/>
      <c r="N19" s="7"/>
      <c r="O19" s="7"/>
      <c r="P19" s="7"/>
    </row>
    <row r="20" spans="1:16" s="92" customFormat="1" ht="15.75">
      <c r="B20" s="182"/>
      <c r="C20" s="182"/>
      <c r="D20" s="182"/>
      <c r="E20" s="182"/>
      <c r="F20" s="1655"/>
      <c r="G20" s="1093"/>
      <c r="H20" s="1093"/>
      <c r="I20" s="1093"/>
      <c r="J20" s="1093"/>
      <c r="K20" s="1093"/>
      <c r="L20" s="6"/>
      <c r="M20" s="6"/>
      <c r="N20" s="6"/>
      <c r="O20" s="6"/>
      <c r="P20" s="6"/>
    </row>
    <row r="21" spans="1:16">
      <c r="B21" s="157"/>
      <c r="C21" s="157"/>
      <c r="D21" s="157"/>
      <c r="E21" s="157"/>
      <c r="F21" s="157"/>
      <c r="G21" s="157"/>
      <c r="H21" s="9"/>
      <c r="I21" s="9"/>
      <c r="J21" s="9"/>
      <c r="K21" s="1451"/>
      <c r="L21" s="1"/>
      <c r="M21" s="1"/>
      <c r="N21" s="7"/>
      <c r="O21" s="7"/>
      <c r="P21" s="7"/>
    </row>
    <row r="22" spans="1:16">
      <c r="B22" s="1450"/>
      <c r="C22" s="1450"/>
      <c r="D22" s="1452"/>
      <c r="E22" s="9"/>
      <c r="F22" s="9"/>
      <c r="G22" s="9"/>
      <c r="H22" s="9"/>
      <c r="I22" s="195"/>
      <c r="J22" s="195"/>
      <c r="K22" s="1"/>
      <c r="L22" s="1"/>
      <c r="M22" s="1"/>
      <c r="N22" s="7"/>
      <c r="O22" s="7"/>
      <c r="P22" s="7"/>
    </row>
    <row r="23" spans="1:16">
      <c r="B23" s="9"/>
      <c r="C23" s="1450"/>
      <c r="D23" s="1093"/>
      <c r="E23" s="9"/>
      <c r="F23" s="9"/>
      <c r="G23" s="9"/>
      <c r="H23" s="9"/>
      <c r="I23" s="195"/>
      <c r="J23" s="195"/>
      <c r="K23" s="1"/>
      <c r="L23" s="1"/>
      <c r="M23" s="1"/>
      <c r="N23" s="7"/>
      <c r="O23" s="7"/>
      <c r="P23" s="7"/>
    </row>
    <row r="24" spans="1:16">
      <c r="B24" s="9"/>
      <c r="C24" s="9"/>
      <c r="D24" s="9"/>
      <c r="E24" s="9"/>
      <c r="F24" s="9"/>
      <c r="G24" s="9"/>
      <c r="H24" s="9"/>
      <c r="I24" s="195"/>
      <c r="J24" s="195"/>
      <c r="K24" s="1"/>
      <c r="L24" s="1"/>
      <c r="M24" s="1"/>
      <c r="N24" s="7"/>
      <c r="O24" s="7"/>
      <c r="P24" s="7"/>
    </row>
    <row r="25" spans="1:16">
      <c r="B25" s="9"/>
      <c r="C25" s="9"/>
      <c r="D25" s="9"/>
      <c r="E25" s="9"/>
      <c r="F25" s="9"/>
      <c r="G25" s="9"/>
      <c r="H25" s="9"/>
      <c r="I25" s="195"/>
      <c r="J25" s="195"/>
      <c r="K25" s="1"/>
      <c r="L25" s="1"/>
      <c r="M25" s="1"/>
      <c r="N25" s="7"/>
      <c r="O25" s="7"/>
      <c r="P25" s="7"/>
    </row>
    <row r="26" spans="1:16">
      <c r="B26" s="9"/>
      <c r="C26" s="9"/>
      <c r="D26" s="9"/>
      <c r="E26" s="9"/>
      <c r="F26" s="9"/>
      <c r="G26" s="9"/>
      <c r="H26" s="9"/>
      <c r="I26" s="195"/>
      <c r="J26" s="195"/>
      <c r="K26" s="1"/>
      <c r="L26" s="1"/>
      <c r="M26" s="1"/>
      <c r="N26" s="7"/>
      <c r="O26" s="7"/>
      <c r="P26" s="7"/>
    </row>
    <row r="27" spans="1:16">
      <c r="B27" s="9"/>
      <c r="C27" s="9"/>
      <c r="D27" s="9"/>
      <c r="E27" s="9"/>
      <c r="F27" s="9"/>
      <c r="G27" s="9"/>
      <c r="H27" s="9"/>
      <c r="I27" s="195"/>
      <c r="J27" s="195"/>
      <c r="K27" s="1"/>
      <c r="L27" s="1"/>
      <c r="M27" s="1"/>
      <c r="N27" s="7"/>
      <c r="O27" s="7"/>
      <c r="P27" s="7"/>
    </row>
    <row r="28" spans="1:16">
      <c r="B28" s="9"/>
      <c r="C28" s="9"/>
      <c r="D28" s="9"/>
      <c r="E28" s="9"/>
      <c r="F28" s="9"/>
      <c r="G28" s="9"/>
      <c r="H28" s="9"/>
      <c r="I28" s="195"/>
      <c r="J28" s="195"/>
      <c r="K28" s="1"/>
      <c r="L28" s="1"/>
      <c r="M28" s="1"/>
      <c r="N28" s="7"/>
      <c r="O28" s="7"/>
      <c r="P28" s="7"/>
    </row>
    <row r="29" spans="1:16">
      <c r="B29" s="9"/>
      <c r="C29" s="9"/>
      <c r="D29" s="9"/>
      <c r="E29" s="9"/>
      <c r="F29" s="9"/>
      <c r="G29" s="9"/>
      <c r="H29" s="9"/>
      <c r="I29" s="195"/>
      <c r="J29" s="195"/>
      <c r="K29" s="1"/>
      <c r="L29" s="1"/>
      <c r="M29" s="1"/>
      <c r="N29" s="7"/>
      <c r="O29" s="7"/>
      <c r="P29" s="7"/>
    </row>
    <row r="30" spans="1:16">
      <c r="B30" s="9"/>
      <c r="C30" s="9"/>
      <c r="D30" s="9"/>
      <c r="E30" s="9"/>
      <c r="F30" s="9"/>
      <c r="G30" s="9"/>
      <c r="H30" s="9"/>
      <c r="I30" s="195"/>
      <c r="J30" s="195"/>
      <c r="K30" s="1"/>
      <c r="L30" s="1"/>
      <c r="M30" s="1"/>
      <c r="N30" s="7"/>
      <c r="O30" s="7"/>
      <c r="P30" s="7"/>
    </row>
    <row r="31" spans="1:16">
      <c r="B31" s="9"/>
      <c r="C31" s="9"/>
      <c r="D31" s="9"/>
      <c r="E31" s="9"/>
      <c r="F31" s="9"/>
      <c r="G31" s="9"/>
      <c r="H31" s="9"/>
      <c r="I31" s="195"/>
      <c r="J31" s="195"/>
      <c r="K31" s="1"/>
      <c r="L31" s="1"/>
      <c r="M31" s="1"/>
      <c r="N31" s="7"/>
      <c r="O31" s="7"/>
      <c r="P31" s="7"/>
    </row>
    <row r="32" spans="1:16">
      <c r="B32" s="9"/>
      <c r="C32" s="9"/>
      <c r="D32" s="9"/>
      <c r="E32" s="9"/>
      <c r="F32" s="9"/>
      <c r="G32" s="9"/>
      <c r="H32" s="9"/>
      <c r="I32" s="195"/>
      <c r="J32" s="195"/>
      <c r="K32" s="1"/>
      <c r="L32" s="1"/>
      <c r="M32" s="1"/>
      <c r="N32" s="7"/>
      <c r="O32" s="7"/>
      <c r="P32" s="7"/>
    </row>
    <row r="33" spans="2:16">
      <c r="B33" s="9"/>
      <c r="C33" s="9"/>
      <c r="D33" s="9"/>
      <c r="E33" s="9"/>
      <c r="F33" s="9"/>
      <c r="G33" s="9"/>
      <c r="H33" s="9"/>
      <c r="I33" s="195"/>
      <c r="J33" s="195"/>
      <c r="K33" s="1"/>
      <c r="L33" s="1"/>
      <c r="M33" s="1"/>
      <c r="N33" s="7"/>
      <c r="O33" s="7"/>
      <c r="P33" s="7"/>
    </row>
    <row r="34" spans="2:16">
      <c r="B34" s="9"/>
      <c r="C34" s="9"/>
      <c r="D34" s="9"/>
      <c r="E34" s="9"/>
      <c r="F34" s="9"/>
      <c r="G34" s="9"/>
      <c r="H34" s="9"/>
      <c r="I34" s="195"/>
      <c r="J34" s="195"/>
      <c r="K34" s="1"/>
      <c r="L34" s="1"/>
      <c r="M34" s="1"/>
      <c r="N34" s="7"/>
      <c r="O34" s="7"/>
      <c r="P34" s="7"/>
    </row>
    <row r="35" spans="2:16">
      <c r="B35" s="9"/>
      <c r="C35" s="9"/>
      <c r="D35" s="9"/>
      <c r="E35" s="9"/>
      <c r="F35" s="9"/>
      <c r="G35" s="9"/>
      <c r="H35" s="9"/>
      <c r="I35" s="195"/>
      <c r="J35" s="195"/>
      <c r="K35" s="1"/>
      <c r="L35" s="1"/>
      <c r="M35" s="1"/>
      <c r="N35" s="7"/>
      <c r="O35" s="7"/>
      <c r="P35" s="7"/>
    </row>
    <row r="36" spans="2:16">
      <c r="B36" s="9"/>
      <c r="C36" s="9"/>
      <c r="D36" s="9"/>
      <c r="E36" s="9"/>
      <c r="F36" s="9"/>
      <c r="G36" s="9"/>
      <c r="H36" s="9"/>
      <c r="I36" s="195"/>
      <c r="J36" s="195"/>
      <c r="K36" s="1"/>
      <c r="L36" s="1"/>
      <c r="M36" s="1"/>
      <c r="N36" s="7"/>
      <c r="O36" s="7"/>
      <c r="P36" s="7"/>
    </row>
    <row r="37" spans="2:16">
      <c r="B37" s="9"/>
      <c r="C37" s="9"/>
      <c r="D37" s="9"/>
      <c r="E37" s="9"/>
      <c r="F37" s="9"/>
      <c r="G37" s="9"/>
      <c r="H37" s="9"/>
      <c r="I37" s="195"/>
      <c r="J37" s="195"/>
      <c r="K37" s="1"/>
      <c r="L37" s="1"/>
      <c r="M37" s="1"/>
      <c r="N37" s="7"/>
      <c r="O37" s="7"/>
      <c r="P37" s="7"/>
    </row>
    <row r="38" spans="2:16">
      <c r="B38" s="9"/>
      <c r="C38" s="9"/>
      <c r="D38" s="9"/>
      <c r="E38" s="9"/>
      <c r="F38" s="9"/>
      <c r="G38" s="9"/>
      <c r="H38" s="9"/>
      <c r="I38" s="195"/>
      <c r="J38" s="195"/>
      <c r="K38" s="1"/>
      <c r="L38" s="1"/>
      <c r="M38" s="1"/>
      <c r="N38" s="7"/>
      <c r="O38" s="7"/>
      <c r="P38" s="7"/>
    </row>
    <row r="39" spans="2:16">
      <c r="B39" s="9"/>
      <c r="C39" s="9"/>
      <c r="D39" s="9"/>
      <c r="E39" s="9"/>
      <c r="F39" s="9"/>
      <c r="G39" s="9"/>
      <c r="H39" s="9"/>
      <c r="I39" s="195"/>
      <c r="J39" s="195"/>
      <c r="K39" s="1"/>
      <c r="L39" s="1"/>
      <c r="M39" s="1"/>
      <c r="N39" s="7"/>
      <c r="O39" s="7"/>
      <c r="P39" s="7"/>
    </row>
    <row r="40" spans="2:16">
      <c r="B40" s="9"/>
      <c r="C40" s="9"/>
      <c r="D40" s="9"/>
      <c r="E40" s="9"/>
      <c r="F40" s="9"/>
      <c r="G40" s="9"/>
      <c r="H40" s="9"/>
      <c r="I40" s="195"/>
      <c r="J40" s="195"/>
      <c r="K40" s="1"/>
      <c r="L40" s="1"/>
      <c r="M40" s="1"/>
      <c r="N40" s="7"/>
      <c r="O40" s="7"/>
      <c r="P40" s="7"/>
    </row>
    <row r="41" spans="2:16">
      <c r="B41" s="9"/>
      <c r="C41" s="9"/>
      <c r="D41" s="9"/>
      <c r="E41" s="9"/>
      <c r="F41" s="9"/>
      <c r="G41" s="9"/>
      <c r="H41" s="9"/>
      <c r="I41" s="195"/>
      <c r="J41" s="195"/>
      <c r="K41" s="1"/>
      <c r="L41" s="1"/>
      <c r="M41" s="1"/>
      <c r="N41" s="7"/>
      <c r="O41" s="7"/>
      <c r="P41" s="7"/>
    </row>
    <row r="42" spans="2:16">
      <c r="B42" s="9"/>
      <c r="C42" s="9"/>
      <c r="D42" s="9"/>
      <c r="E42" s="9"/>
      <c r="F42" s="9"/>
      <c r="G42" s="9"/>
      <c r="H42" s="9"/>
      <c r="I42" s="195"/>
      <c r="J42" s="195"/>
      <c r="K42" s="1"/>
      <c r="L42" s="1"/>
      <c r="M42" s="1"/>
      <c r="N42" s="7"/>
      <c r="O42" s="7"/>
      <c r="P42" s="7"/>
    </row>
  </sheetData>
  <mergeCells count="5">
    <mergeCell ref="A1:O1"/>
    <mergeCell ref="A2:O2"/>
    <mergeCell ref="A3:A4"/>
    <mergeCell ref="B3:G3"/>
    <mergeCell ref="H3:K3"/>
  </mergeCells>
  <printOptions horizontalCentered="1" verticalCentered="1"/>
  <pageMargins left="0.39370078740157483" right="0.39370078740157483" top="0.23622047244094488" bottom="0.23622047244094488" header="0.31496062992125984" footer="7.874015748031496E-2"/>
  <pageSetup paperSize="5" scale="52"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K17"/>
  <sheetViews>
    <sheetView showGridLines="0" view="pageBreakPreview" zoomScale="85" zoomScaleNormal="100" zoomScaleSheetLayoutView="85" workbookViewId="0">
      <selection activeCell="A3" sqref="A3"/>
    </sheetView>
  </sheetViews>
  <sheetFormatPr baseColWidth="10" defaultRowHeight="15"/>
  <cols>
    <col min="1" max="1" width="15.140625" style="890" customWidth="1"/>
    <col min="2" max="2" width="23.28515625" style="890" customWidth="1"/>
    <col min="3" max="3" width="22.42578125" style="890" customWidth="1"/>
    <col min="4" max="4" width="23.28515625" style="890" customWidth="1"/>
    <col min="5" max="7" width="18" style="890" customWidth="1"/>
    <col min="8" max="8" width="17.140625" style="890" customWidth="1"/>
    <col min="9" max="9" width="15.42578125" style="890" customWidth="1"/>
    <col min="10" max="10" width="18.42578125" style="890" customWidth="1"/>
    <col min="11" max="16384" width="11.42578125" style="890"/>
  </cols>
  <sheetData>
    <row r="1" spans="1:11" ht="63" customHeight="1">
      <c r="A1" s="1929"/>
      <c r="B1" s="1929"/>
      <c r="C1" s="1929"/>
      <c r="D1" s="1929"/>
      <c r="E1" s="1929"/>
      <c r="F1" s="1929"/>
      <c r="G1" s="1929"/>
      <c r="H1" s="1929"/>
      <c r="I1" s="1929"/>
    </row>
    <row r="2" spans="1:11" ht="3.75" customHeight="1"/>
    <row r="3" spans="1:11" s="1652" customFormat="1" ht="21.75" customHeight="1">
      <c r="A3" s="1650" t="s">
        <v>193</v>
      </c>
      <c r="B3" s="1651" t="s">
        <v>628</v>
      </c>
      <c r="C3" s="1651" t="s">
        <v>323</v>
      </c>
      <c r="D3" s="1650" t="s">
        <v>629</v>
      </c>
    </row>
    <row r="4" spans="1:11">
      <c r="A4" s="1460">
        <v>2003</v>
      </c>
      <c r="B4" s="902">
        <v>211522228.03</v>
      </c>
      <c r="C4" s="902">
        <v>1627801493.98</v>
      </c>
      <c r="D4" s="1537">
        <f>+C4+B4</f>
        <v>1839323722.01</v>
      </c>
      <c r="E4" s="1454"/>
      <c r="F4" s="1462"/>
    </row>
    <row r="5" spans="1:11">
      <c r="A5" s="1460">
        <v>2004</v>
      </c>
      <c r="B5" s="902">
        <v>2104921284.339</v>
      </c>
      <c r="C5" s="902">
        <v>5315526427.3509998</v>
      </c>
      <c r="D5" s="1538">
        <f>+C5+B5</f>
        <v>7420447711.6899996</v>
      </c>
      <c r="E5" s="1454"/>
      <c r="F5" s="1462"/>
    </row>
    <row r="6" spans="1:11">
      <c r="A6" s="1460">
        <v>2005</v>
      </c>
      <c r="B6" s="902">
        <v>2740119047.3900003</v>
      </c>
      <c r="C6" s="902">
        <v>6918059326.1500006</v>
      </c>
      <c r="D6" s="1538">
        <f t="shared" ref="D6:D15" si="0">+C6+B6</f>
        <v>9658178373.5400009</v>
      </c>
      <c r="E6" s="1454"/>
      <c r="F6" s="1462"/>
      <c r="G6" s="891"/>
    </row>
    <row r="7" spans="1:11">
      <c r="A7" s="1460">
        <v>2006</v>
      </c>
      <c r="B7" s="902">
        <v>2679574110.783494</v>
      </c>
      <c r="C7" s="902">
        <v>8392526306.6965065</v>
      </c>
      <c r="D7" s="1538">
        <f t="shared" si="0"/>
        <v>11072100417.48</v>
      </c>
      <c r="E7" s="1454"/>
      <c r="F7" s="1462"/>
    </row>
    <row r="8" spans="1:11">
      <c r="A8" s="1460">
        <v>2007</v>
      </c>
      <c r="B8" s="902">
        <v>7440643704.1800003</v>
      </c>
      <c r="C8" s="902">
        <v>13755990830.42</v>
      </c>
      <c r="D8" s="1538">
        <f t="shared" si="0"/>
        <v>21196634534.599998</v>
      </c>
      <c r="E8" s="1454"/>
      <c r="F8" s="1462"/>
    </row>
    <row r="9" spans="1:11">
      <c r="A9" s="1460">
        <v>2008</v>
      </c>
      <c r="B9" s="902">
        <v>10090935314.219999</v>
      </c>
      <c r="C9" s="902">
        <v>22987229737.049999</v>
      </c>
      <c r="D9" s="1538">
        <f t="shared" si="0"/>
        <v>33078165051.269997</v>
      </c>
      <c r="E9" s="1454"/>
      <c r="F9" s="1462"/>
    </row>
    <row r="10" spans="1:11">
      <c r="A10" s="1460">
        <v>2009</v>
      </c>
      <c r="B10" s="902">
        <v>12419428715.15</v>
      </c>
      <c r="C10" s="902">
        <v>25453341929.369999</v>
      </c>
      <c r="D10" s="1538">
        <f t="shared" si="0"/>
        <v>37872770644.519997</v>
      </c>
      <c r="E10" s="1454"/>
      <c r="F10" s="1462"/>
    </row>
    <row r="11" spans="1:11">
      <c r="A11" s="1460">
        <v>2010</v>
      </c>
      <c r="B11" s="902">
        <v>13982932933.34</v>
      </c>
      <c r="C11" s="902">
        <v>29622073160.660004</v>
      </c>
      <c r="D11" s="1538">
        <f t="shared" si="0"/>
        <v>43605006094</v>
      </c>
      <c r="E11" s="1454"/>
      <c r="F11" s="1462"/>
      <c r="G11" s="176"/>
      <c r="J11" s="963"/>
    </row>
    <row r="12" spans="1:11">
      <c r="A12" s="1460">
        <v>2011</v>
      </c>
      <c r="B12" s="902">
        <v>15631836986.009998</v>
      </c>
      <c r="C12" s="902">
        <v>33784047829.830002</v>
      </c>
      <c r="D12" s="1538">
        <f t="shared" si="0"/>
        <v>49415884815.839996</v>
      </c>
      <c r="E12" s="1454"/>
      <c r="F12" s="1462"/>
      <c r="J12" s="963"/>
    </row>
    <row r="13" spans="1:11">
      <c r="A13" s="1460">
        <v>2012</v>
      </c>
      <c r="B13" s="902">
        <v>17595724643.350403</v>
      </c>
      <c r="C13" s="902">
        <v>37469807664.639603</v>
      </c>
      <c r="D13" s="1538">
        <f t="shared" si="0"/>
        <v>55065532307.990005</v>
      </c>
      <c r="E13" s="1454"/>
      <c r="F13" s="1462"/>
      <c r="J13" s="963"/>
    </row>
    <row r="14" spans="1:11">
      <c r="A14" s="1460">
        <v>2013</v>
      </c>
      <c r="B14" s="902">
        <v>20873289030.960003</v>
      </c>
      <c r="C14" s="902">
        <v>40609714567.439995</v>
      </c>
      <c r="D14" s="1538">
        <f t="shared" si="0"/>
        <v>61483003598.399994</v>
      </c>
      <c r="E14" s="1454"/>
      <c r="F14" s="1462"/>
    </row>
    <row r="15" spans="1:11">
      <c r="A15" s="1460">
        <v>2014</v>
      </c>
      <c r="B15" s="902">
        <v>24657599719.139999</v>
      </c>
      <c r="C15" s="902">
        <v>45263293195.400002</v>
      </c>
      <c r="D15" s="1538">
        <f t="shared" si="0"/>
        <v>69920892914.540009</v>
      </c>
      <c r="E15" s="1454"/>
      <c r="F15" s="1462"/>
      <c r="J15" s="1454"/>
      <c r="K15" s="1094"/>
    </row>
    <row r="16" spans="1:11">
      <c r="A16" s="1460" t="s">
        <v>949</v>
      </c>
      <c r="B16" s="1271">
        <v>14162628886.940001</v>
      </c>
      <c r="C16" s="1271">
        <v>23663456613.709999</v>
      </c>
      <c r="D16" s="1539">
        <f>+C16+B16</f>
        <v>37826085500.650002</v>
      </c>
      <c r="E16" s="1454"/>
      <c r="F16" s="1462"/>
    </row>
    <row r="17" spans="1:10">
      <c r="A17" s="1272" t="s">
        <v>100</v>
      </c>
      <c r="B17" s="903">
        <f>SUM(B4:B16)</f>
        <v>144591156603.83289</v>
      </c>
      <c r="C17" s="903">
        <f>SUM(C4:C16)</f>
        <v>294862869082.69708</v>
      </c>
      <c r="D17" s="1540">
        <f>SUM(D4:D16)</f>
        <v>439454025686.53003</v>
      </c>
      <c r="E17" s="1454"/>
      <c r="F17" s="1462"/>
      <c r="J17" s="1454"/>
    </row>
  </sheetData>
  <mergeCells count="1">
    <mergeCell ref="A1:I1"/>
  </mergeCells>
  <pageMargins left="0.7" right="0.7" top="0.75" bottom="0.75" header="0.3" footer="0.3"/>
  <pageSetup scale="69"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Q20"/>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H9" sqref="H9"/>
    </sheetView>
  </sheetViews>
  <sheetFormatPr baseColWidth="10" defaultRowHeight="15"/>
  <cols>
    <col min="1" max="1" width="15.42578125" style="892" customWidth="1"/>
    <col min="2" max="2" width="20.5703125" style="892" customWidth="1"/>
    <col min="3" max="3" width="19.140625" style="892" customWidth="1"/>
    <col min="4" max="4" width="19.85546875" style="892" customWidth="1"/>
    <col min="5" max="5" width="21.42578125" style="892" customWidth="1"/>
    <col min="6" max="6" width="22" style="892" customWidth="1"/>
    <col min="7" max="7" width="11.42578125" style="892"/>
    <col min="8" max="8" width="23.7109375" style="892" customWidth="1"/>
    <col min="9" max="9" width="25.140625" style="892" customWidth="1"/>
    <col min="10" max="10" width="11.42578125" style="892"/>
    <col min="11" max="11" width="16.5703125" style="892" customWidth="1"/>
    <col min="12" max="16384" width="11.42578125" style="892"/>
  </cols>
  <sheetData>
    <row r="1" spans="1:17" ht="54.75" customHeight="1">
      <c r="A1" s="1930" t="s">
        <v>637</v>
      </c>
      <c r="B1" s="1931"/>
      <c r="C1" s="1931"/>
      <c r="D1" s="1931"/>
      <c r="E1" s="1931"/>
      <c r="F1" s="1931"/>
      <c r="G1" s="1931"/>
    </row>
    <row r="2" spans="1:17" ht="8.25" customHeight="1">
      <c r="A2" s="893"/>
      <c r="B2" s="893"/>
      <c r="C2" s="893"/>
      <c r="D2" s="893"/>
      <c r="E2" s="893"/>
      <c r="F2" s="893"/>
    </row>
    <row r="3" spans="1:17" ht="30">
      <c r="A3" s="905" t="s">
        <v>193</v>
      </c>
      <c r="B3" s="904" t="s">
        <v>630</v>
      </c>
      <c r="C3" s="904" t="s">
        <v>631</v>
      </c>
      <c r="D3" s="904" t="s">
        <v>632</v>
      </c>
      <c r="E3" s="904" t="s">
        <v>633</v>
      </c>
      <c r="F3" s="965" t="s">
        <v>634</v>
      </c>
    </row>
    <row r="4" spans="1:17">
      <c r="A4" s="906">
        <v>2003</v>
      </c>
      <c r="B4" s="596">
        <v>63456668.409345008</v>
      </c>
      <c r="C4" s="596">
        <v>488340448.19365501</v>
      </c>
      <c r="D4" s="596">
        <v>148065559.62180501</v>
      </c>
      <c r="E4" s="596">
        <v>1139461045.7851951</v>
      </c>
      <c r="F4" s="966">
        <f t="shared" ref="F4:F16" si="0">SUM(B4:E4)</f>
        <v>1839323722.0100002</v>
      </c>
      <c r="G4" s="962"/>
    </row>
    <row r="5" spans="1:17">
      <c r="A5" s="906">
        <v>2004</v>
      </c>
      <c r="B5" s="596">
        <v>547279533.92999995</v>
      </c>
      <c r="C5" s="596">
        <v>1382036871.1099999</v>
      </c>
      <c r="D5" s="596">
        <v>1557641750.4100001</v>
      </c>
      <c r="E5" s="596">
        <v>3933489556.2399998</v>
      </c>
      <c r="F5" s="966">
        <f>SUM(B5:E5)</f>
        <v>7420447711.6899996</v>
      </c>
      <c r="G5" s="962"/>
    </row>
    <row r="6" spans="1:17">
      <c r="A6" s="906">
        <v>2005</v>
      </c>
      <c r="B6" s="596">
        <v>712430952.32140017</v>
      </c>
      <c r="C6" s="596">
        <v>1798695424.7990003</v>
      </c>
      <c r="D6" s="596">
        <v>2027688095.0686002</v>
      </c>
      <c r="E6" s="596">
        <v>5119363901.3510008</v>
      </c>
      <c r="F6" s="966">
        <f t="shared" si="0"/>
        <v>9658178373.5400009</v>
      </c>
      <c r="G6" s="962"/>
    </row>
    <row r="7" spans="1:17">
      <c r="A7" s="906">
        <v>2006</v>
      </c>
      <c r="B7" s="596">
        <v>696689268.80370843</v>
      </c>
      <c r="C7" s="596">
        <v>2182056839.7410917</v>
      </c>
      <c r="D7" s="596">
        <v>1982884841.9797854</v>
      </c>
      <c r="E7" s="596">
        <v>6210469466.9554148</v>
      </c>
      <c r="F7" s="966">
        <f t="shared" si="0"/>
        <v>11072100417.48</v>
      </c>
      <c r="G7" s="962"/>
      <c r="J7" s="963"/>
      <c r="K7" s="963"/>
      <c r="L7" s="963"/>
      <c r="M7" s="963"/>
      <c r="N7" s="963"/>
      <c r="O7" s="963"/>
      <c r="P7" s="963"/>
      <c r="Q7" s="963"/>
    </row>
    <row r="8" spans="1:17">
      <c r="A8" s="906">
        <v>2007</v>
      </c>
      <c r="B8" s="596">
        <v>2008973800.1286001</v>
      </c>
      <c r="C8" s="596">
        <v>3714117524.2134004</v>
      </c>
      <c r="D8" s="596">
        <v>5431669904.0514002</v>
      </c>
      <c r="E8" s="596">
        <v>10041873306.2066</v>
      </c>
      <c r="F8" s="966">
        <f t="shared" si="0"/>
        <v>21196634534.600002</v>
      </c>
      <c r="G8" s="962"/>
    </row>
    <row r="9" spans="1:17">
      <c r="A9" s="906">
        <v>2008</v>
      </c>
      <c r="B9" s="596">
        <v>2875916564.5526996</v>
      </c>
      <c r="C9" s="596">
        <v>6551360475.0592489</v>
      </c>
      <c r="D9" s="596">
        <v>7215018749.6672993</v>
      </c>
      <c r="E9" s="596">
        <v>16435869261.990749</v>
      </c>
      <c r="F9" s="966">
        <f t="shared" si="0"/>
        <v>33078165051.269997</v>
      </c>
      <c r="G9" s="962"/>
      <c r="M9" s="963"/>
    </row>
    <row r="10" spans="1:17">
      <c r="A10" s="906">
        <v>2009</v>
      </c>
      <c r="B10" s="596">
        <v>3539537183.8177495</v>
      </c>
      <c r="C10" s="596">
        <v>7254202449.8704491</v>
      </c>
      <c r="D10" s="596">
        <v>8879891531.3322487</v>
      </c>
      <c r="E10" s="596">
        <v>18199139479.49955</v>
      </c>
      <c r="F10" s="966">
        <f t="shared" si="0"/>
        <v>37872770644.519997</v>
      </c>
      <c r="G10" s="962"/>
      <c r="M10" s="963"/>
    </row>
    <row r="11" spans="1:17">
      <c r="A11" s="906">
        <v>2010</v>
      </c>
      <c r="B11" s="596">
        <v>3985135886.0018997</v>
      </c>
      <c r="C11" s="596">
        <v>8442290850.7881002</v>
      </c>
      <c r="D11" s="596">
        <v>9997797047.3381004</v>
      </c>
      <c r="E11" s="596">
        <v>21179782309.871902</v>
      </c>
      <c r="F11" s="966">
        <f t="shared" si="0"/>
        <v>43605006094</v>
      </c>
      <c r="G11" s="962"/>
      <c r="K11" s="962"/>
      <c r="M11" s="963"/>
    </row>
    <row r="12" spans="1:17">
      <c r="A12" s="906">
        <v>2011</v>
      </c>
      <c r="B12" s="596">
        <v>4455073541.0128489</v>
      </c>
      <c r="C12" s="596">
        <v>9628453631.5015488</v>
      </c>
      <c r="D12" s="596">
        <v>11176763444.997149</v>
      </c>
      <c r="E12" s="596">
        <v>24155594198.328449</v>
      </c>
      <c r="F12" s="966">
        <f t="shared" si="0"/>
        <v>49415884815.839996</v>
      </c>
      <c r="G12" s="962"/>
      <c r="K12" s="963"/>
      <c r="M12" s="963"/>
    </row>
    <row r="13" spans="1:17">
      <c r="A13" s="906">
        <v>2012</v>
      </c>
      <c r="B13" s="596">
        <v>5014781523.3548641</v>
      </c>
      <c r="C13" s="596">
        <v>10678895184.422285</v>
      </c>
      <c r="D13" s="596">
        <v>12580943119.995537</v>
      </c>
      <c r="E13" s="596">
        <v>26790912480.217316</v>
      </c>
      <c r="F13" s="966">
        <f t="shared" si="0"/>
        <v>55065532307.990005</v>
      </c>
      <c r="G13" s="962"/>
      <c r="M13" s="963"/>
    </row>
    <row r="14" spans="1:17">
      <c r="A14" s="906">
        <v>2013</v>
      </c>
      <c r="B14" s="596">
        <v>5948887373.8236008</v>
      </c>
      <c r="C14" s="596">
        <v>11573768651.720398</v>
      </c>
      <c r="D14" s="596">
        <v>14924401657.136402</v>
      </c>
      <c r="E14" s="596">
        <v>29035945915.719597</v>
      </c>
      <c r="F14" s="966">
        <f t="shared" si="0"/>
        <v>61483003598.399994</v>
      </c>
      <c r="G14" s="962"/>
    </row>
    <row r="15" spans="1:17">
      <c r="A15" s="906">
        <v>2014</v>
      </c>
      <c r="B15" s="596">
        <v>7027415919.9548988</v>
      </c>
      <c r="C15" s="596">
        <v>12900038560.688999</v>
      </c>
      <c r="D15" s="596">
        <v>17630183799.185101</v>
      </c>
      <c r="E15" s="596">
        <v>32363254634.710999</v>
      </c>
      <c r="F15" s="966">
        <f t="shared" si="0"/>
        <v>69920892914.539993</v>
      </c>
      <c r="G15" s="962"/>
      <c r="H15" s="962"/>
    </row>
    <row r="16" spans="1:17">
      <c r="A16" s="906" t="s">
        <v>949</v>
      </c>
      <c r="B16" s="596">
        <v>4036349232.7778997</v>
      </c>
      <c r="C16" s="596">
        <v>6744085134.9073496</v>
      </c>
      <c r="D16" s="596">
        <v>10126279654.1621</v>
      </c>
      <c r="E16" s="596">
        <v>16919371478.802649</v>
      </c>
      <c r="F16" s="966">
        <f t="shared" si="0"/>
        <v>37826085500.650002</v>
      </c>
      <c r="G16" s="962"/>
      <c r="H16" s="962"/>
      <c r="K16" s="962"/>
      <c r="L16" s="1768"/>
    </row>
    <row r="17" spans="1:7">
      <c r="A17" s="907" t="s">
        <v>100</v>
      </c>
      <c r="B17" s="964">
        <f>SUM(B4:B16)</f>
        <v>40911927448.889519</v>
      </c>
      <c r="C17" s="908">
        <f>SUM(C4:C16)</f>
        <v>83338342047.015533</v>
      </c>
      <c r="D17" s="908">
        <f>SUM(D4:D16)</f>
        <v>103679229154.94553</v>
      </c>
      <c r="E17" s="908">
        <f>SUM(E4:E16)</f>
        <v>211524527035.67941</v>
      </c>
      <c r="F17" s="967">
        <f>SUM(F4:F16)</f>
        <v>439454025686.52997</v>
      </c>
      <c r="G17" s="962"/>
    </row>
    <row r="18" spans="1:7">
      <c r="F18" s="963"/>
    </row>
    <row r="20" spans="1:7">
      <c r="C20" s="1464"/>
      <c r="E20" s="1464"/>
    </row>
  </sheetData>
  <mergeCells count="1">
    <mergeCell ref="A1:G1"/>
  </mergeCells>
  <pageMargins left="0.7" right="0.7" top="0.75" bottom="0.75" header="0.3" footer="0.3"/>
  <pageSetup scale="5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K21"/>
  <sheetViews>
    <sheetView showGridLines="0" view="pageBreakPreview" zoomScale="85" zoomScaleNormal="100" zoomScaleSheetLayoutView="85" workbookViewId="0">
      <selection activeCell="D15" sqref="D15"/>
    </sheetView>
  </sheetViews>
  <sheetFormatPr baseColWidth="10" defaultRowHeight="15"/>
  <cols>
    <col min="1" max="1" width="10.5703125" style="1145" customWidth="1"/>
    <col min="2" max="2" width="17.85546875" style="1145" customWidth="1"/>
    <col min="3" max="3" width="17.42578125" style="1145" customWidth="1"/>
    <col min="4" max="4" width="19.42578125" style="1145" customWidth="1"/>
    <col min="5" max="5" width="21.7109375" style="1145" customWidth="1"/>
    <col min="6" max="6" width="20.140625" style="1145" customWidth="1"/>
    <col min="7" max="7" width="24.140625" style="1145" customWidth="1"/>
    <col min="8" max="8" width="13.140625" style="1145" customWidth="1"/>
    <col min="9" max="9" width="11.42578125" style="1145"/>
    <col min="10" max="10" width="14.85546875" style="1145" bestFit="1" customWidth="1"/>
    <col min="11" max="11" width="21" style="1145" bestFit="1" customWidth="1"/>
    <col min="12" max="16384" width="11.42578125" style="1145"/>
  </cols>
  <sheetData>
    <row r="1" spans="1:11" ht="15.75" customHeight="1">
      <c r="A1" s="1932" t="s">
        <v>758</v>
      </c>
      <c r="B1" s="1932"/>
      <c r="C1" s="1932"/>
      <c r="D1" s="1932"/>
      <c r="E1" s="1932"/>
      <c r="F1" s="1932"/>
      <c r="G1" s="1932"/>
      <c r="H1" s="1932"/>
      <c r="I1" s="1295"/>
    </row>
    <row r="2" spans="1:11" s="1296" customFormat="1" ht="41.25" customHeight="1">
      <c r="A2" s="1932"/>
      <c r="B2" s="1932"/>
      <c r="C2" s="1932"/>
      <c r="D2" s="1932"/>
      <c r="E2" s="1932"/>
      <c r="F2" s="1932"/>
      <c r="G2" s="1932"/>
      <c r="H2" s="1932"/>
      <c r="I2" s="1295"/>
    </row>
    <row r="3" spans="1:11" ht="18" customHeight="1">
      <c r="A3" s="1146"/>
      <c r="B3" s="1146"/>
      <c r="C3" s="1146"/>
      <c r="D3" s="1146"/>
      <c r="E3" s="1146"/>
      <c r="F3" s="1146"/>
      <c r="G3" s="1296"/>
      <c r="H3" s="1296"/>
      <c r="I3" s="1296"/>
    </row>
    <row r="4" spans="1:11" s="1147" customFormat="1" ht="35.25" customHeight="1">
      <c r="A4" s="1148" t="s">
        <v>47</v>
      </c>
      <c r="B4" s="1152" t="s">
        <v>753</v>
      </c>
      <c r="C4" s="1152" t="s">
        <v>754</v>
      </c>
      <c r="D4" s="1152" t="s">
        <v>755</v>
      </c>
      <c r="E4" s="1152" t="s">
        <v>756</v>
      </c>
      <c r="F4" s="1149" t="s">
        <v>23</v>
      </c>
      <c r="G4" s="1152" t="s">
        <v>757</v>
      </c>
      <c r="H4" s="1148" t="s">
        <v>44</v>
      </c>
      <c r="K4" s="1455"/>
    </row>
    <row r="5" spans="1:11">
      <c r="A5" s="1769">
        <v>2005</v>
      </c>
      <c r="B5" s="1713"/>
      <c r="C5" s="1713">
        <v>0</v>
      </c>
      <c r="D5" s="1713">
        <f>+'IV.1.3. Ingr y egr SDSS'!C7</f>
        <v>604604920.63</v>
      </c>
      <c r="E5" s="1713">
        <f>+'IV.1.5 Rec. x origen'!D6</f>
        <v>2027688095.0686002</v>
      </c>
      <c r="F5" s="1154">
        <f>SUM(B5:E5)</f>
        <v>2632293015.6986003</v>
      </c>
      <c r="G5" s="1377">
        <v>1020002000000</v>
      </c>
      <c r="H5" s="1380">
        <f>+F5/G5</f>
        <v>2.5806743670096729E-3</v>
      </c>
      <c r="J5" s="1147"/>
      <c r="K5" s="1455"/>
    </row>
    <row r="6" spans="1:11">
      <c r="A6" s="1769">
        <v>2006</v>
      </c>
      <c r="B6" s="1713"/>
      <c r="C6" s="1713">
        <v>0</v>
      </c>
      <c r="D6" s="1713">
        <f>+'IV.1.3. Ingr y egr SDSS'!C8</f>
        <v>724509996.65999997</v>
      </c>
      <c r="E6" s="1713">
        <f>+'IV.1.5 Rec. x origen'!D7</f>
        <v>1982884841.9797854</v>
      </c>
      <c r="F6" s="1154">
        <f t="shared" ref="F6:F14" si="0">SUM(B6:E6)</f>
        <v>2707394838.6397853</v>
      </c>
      <c r="G6" s="1378">
        <v>1189801900000</v>
      </c>
      <c r="H6" s="1381">
        <f t="shared" ref="H6:H14" si="1">+F6/G6</f>
        <v>2.2755005170522801E-3</v>
      </c>
      <c r="J6" s="1147"/>
      <c r="K6" s="1455"/>
    </row>
    <row r="7" spans="1:11">
      <c r="A7" s="1769">
        <v>2007</v>
      </c>
      <c r="B7" s="1713"/>
      <c r="C7" s="1713">
        <v>125000000</v>
      </c>
      <c r="D7" s="1713">
        <f>+'IV.1.3. Ingr y egr SDSS'!C9</f>
        <v>1566425499.9599998</v>
      </c>
      <c r="E7" s="1713">
        <f>+'IV.1.5 Rec. x origen'!D8</f>
        <v>5431669904.0514002</v>
      </c>
      <c r="F7" s="1154">
        <f t="shared" si="0"/>
        <v>7123095404.0114002</v>
      </c>
      <c r="G7" s="1378">
        <v>1364210300000</v>
      </c>
      <c r="H7" s="1381">
        <f t="shared" si="1"/>
        <v>5.2214056762446377E-3</v>
      </c>
      <c r="J7" s="1147"/>
      <c r="K7" s="1455"/>
    </row>
    <row r="8" spans="1:11">
      <c r="A8" s="1769">
        <v>2008</v>
      </c>
      <c r="B8" s="1713"/>
      <c r="C8" s="1713">
        <v>256250000</v>
      </c>
      <c r="D8" s="1713">
        <f>+'IV.1.3. Ingr y egr SDSS'!C10</f>
        <v>2203585531</v>
      </c>
      <c r="E8" s="1713">
        <f>+'IV.1.5 Rec. x origen'!D9</f>
        <v>7215018749.6672993</v>
      </c>
      <c r="F8" s="1154">
        <f t="shared" si="0"/>
        <v>9674854280.6672993</v>
      </c>
      <c r="G8" s="1378">
        <v>1576162800000</v>
      </c>
      <c r="H8" s="1381">
        <f t="shared" si="1"/>
        <v>6.1382328530195608E-3</v>
      </c>
      <c r="J8" s="1147"/>
      <c r="K8" s="1455"/>
    </row>
    <row r="9" spans="1:11">
      <c r="A9" s="1769">
        <v>2009</v>
      </c>
      <c r="B9" s="1713">
        <f>+'IV.1.3. Ingr y egr SDSS'!F11</f>
        <v>178872817.62</v>
      </c>
      <c r="C9" s="1713">
        <v>18750000</v>
      </c>
      <c r="D9" s="1713">
        <f>+'IV.1.3. Ingr y egr SDSS'!C11</f>
        <v>3190675855.0100002</v>
      </c>
      <c r="E9" s="1713">
        <f>+'IV.1.5 Rec. x origen'!D10</f>
        <v>8879891531.3322487</v>
      </c>
      <c r="F9" s="1154">
        <f t="shared" si="0"/>
        <v>12268190203.96225</v>
      </c>
      <c r="G9" s="1378">
        <v>1678762600000</v>
      </c>
      <c r="H9" s="1381">
        <f t="shared" si="1"/>
        <v>7.3078767682591035E-3</v>
      </c>
      <c r="J9" s="1147"/>
      <c r="K9" s="1455"/>
    </row>
    <row r="10" spans="1:11">
      <c r="A10" s="1769">
        <v>2010</v>
      </c>
      <c r="B10" s="1713">
        <f>+'IV.1.3. Ingr y egr SDSS'!F12</f>
        <v>95767339.469999999</v>
      </c>
      <c r="C10" s="1713">
        <v>0</v>
      </c>
      <c r="D10" s="1713">
        <f>+'IV.1.3. Ingr y egr SDSS'!C12</f>
        <v>3736675849.46</v>
      </c>
      <c r="E10" s="1713">
        <f>+'IV.1.5 Rec. x origen'!D11</f>
        <v>9997797047.3381004</v>
      </c>
      <c r="F10" s="1154">
        <f t="shared" si="0"/>
        <v>13830240236.268101</v>
      </c>
      <c r="G10" s="1378">
        <v>1901896700000</v>
      </c>
      <c r="H10" s="1381">
        <f t="shared" si="1"/>
        <v>7.2718146239320464E-3</v>
      </c>
      <c r="J10" s="1147"/>
      <c r="K10" s="1455"/>
    </row>
    <row r="11" spans="1:11">
      <c r="A11" s="1769">
        <v>2011</v>
      </c>
      <c r="B11" s="1713">
        <f>+'IV.1.3. Ingr y egr SDSS'!F13</f>
        <v>320281085.42000002</v>
      </c>
      <c r="C11" s="1713">
        <v>0</v>
      </c>
      <c r="D11" s="1713">
        <f>+'IV.1.3. Ingr y egr SDSS'!C13</f>
        <v>4134675852</v>
      </c>
      <c r="E11" s="1713">
        <f>+'IV.1.5 Rec. x origen'!D12</f>
        <v>11176763444.997149</v>
      </c>
      <c r="F11" s="1154">
        <f t="shared" si="0"/>
        <v>15631720382.417149</v>
      </c>
      <c r="G11" s="1378">
        <v>2119301799999.9998</v>
      </c>
      <c r="H11" s="1381">
        <f t="shared" si="1"/>
        <v>7.3758821808282094E-3</v>
      </c>
      <c r="J11" s="1147"/>
      <c r="K11" s="1455"/>
    </row>
    <row r="12" spans="1:11">
      <c r="A12" s="1769">
        <v>2012</v>
      </c>
      <c r="B12" s="1713">
        <f>+'IV.1.3. Ingr y egr SDSS'!F14</f>
        <v>349151178.95999998</v>
      </c>
      <c r="C12" s="1713">
        <v>0</v>
      </c>
      <c r="D12" s="1713">
        <f>+'IV.1.3. Ingr y egr SDSS'!C14</f>
        <v>4599999999.96</v>
      </c>
      <c r="E12" s="1713">
        <f>+'IV.1.5 Rec. x origen'!D13</f>
        <v>12580943119.995537</v>
      </c>
      <c r="F12" s="1154">
        <f t="shared" si="0"/>
        <v>17530094298.915535</v>
      </c>
      <c r="G12" s="1378">
        <v>2316783700000</v>
      </c>
      <c r="H12" s="1381">
        <f t="shared" si="1"/>
        <v>7.5665649317696489E-3</v>
      </c>
      <c r="J12" s="1147"/>
      <c r="K12" s="1455"/>
    </row>
    <row r="13" spans="1:11">
      <c r="A13" s="1769">
        <v>2013</v>
      </c>
      <c r="B13" s="1713">
        <f>+'IV.1.3. Ingr y egr SDSS'!F15</f>
        <v>362641633.79000002</v>
      </c>
      <c r="C13" s="1713">
        <v>0</v>
      </c>
      <c r="D13" s="1713">
        <f>+'IV.1.3. Ingr y egr SDSS'!C15</f>
        <v>5302610000</v>
      </c>
      <c r="E13" s="1713">
        <f>+'IV.1.5 Rec. x origen'!D14</f>
        <v>14924401657.136402</v>
      </c>
      <c r="F13" s="1154">
        <f t="shared" si="0"/>
        <v>20589653290.926403</v>
      </c>
      <c r="G13" s="1378">
        <v>2534067800000</v>
      </c>
      <c r="H13" s="1381">
        <f t="shared" si="1"/>
        <v>8.1251390712302179E-3</v>
      </c>
      <c r="J13" s="1147"/>
      <c r="K13" s="1455"/>
    </row>
    <row r="14" spans="1:11">
      <c r="A14" s="1769">
        <v>2014</v>
      </c>
      <c r="B14" s="1713">
        <f>+'IV.1.3. Ingr y egr SDSS'!F16</f>
        <v>355808488.19</v>
      </c>
      <c r="C14" s="1713">
        <v>0</v>
      </c>
      <c r="D14" s="1713">
        <f>+'IV.1.3. Ingr y egr SDSS'!C16</f>
        <v>6839999499</v>
      </c>
      <c r="E14" s="1713">
        <f>+'IV.1.5 Rec. x origen'!D15</f>
        <v>17630183799.185101</v>
      </c>
      <c r="F14" s="1154">
        <f t="shared" si="0"/>
        <v>24825991786.375099</v>
      </c>
      <c r="G14" s="1378">
        <v>2786229703801.9404</v>
      </c>
      <c r="H14" s="1381">
        <f t="shared" si="1"/>
        <v>8.9102458969907879E-3</v>
      </c>
      <c r="J14" s="1147"/>
      <c r="K14" s="1455"/>
    </row>
    <row r="15" spans="1:11">
      <c r="A15" s="1769" t="s">
        <v>947</v>
      </c>
      <c r="B15" s="1713">
        <f>+'IV.1.3. Ingr y egr SDSS'!F17</f>
        <v>177671368.11999997</v>
      </c>
      <c r="C15" s="1713">
        <v>0</v>
      </c>
      <c r="D15" s="1713">
        <f>+'IV.1.3. Ingr y egr SDSS'!C17</f>
        <v>3146732398</v>
      </c>
      <c r="E15" s="1713">
        <f>+'IV.1.5 Rec. x origen'!D16</f>
        <v>10126279654.1621</v>
      </c>
      <c r="F15" s="1154">
        <f>SUM(B15:E15)</f>
        <v>13450683420.282101</v>
      </c>
      <c r="G15" s="1379">
        <v>2786229703801.9404</v>
      </c>
      <c r="H15" s="1382">
        <f>+F15/G15</f>
        <v>4.8275572548551957E-3</v>
      </c>
      <c r="J15" s="1147"/>
      <c r="K15" s="1455"/>
    </row>
    <row r="16" spans="1:11">
      <c r="A16" s="1150" t="s">
        <v>23</v>
      </c>
      <c r="B16" s="1153">
        <f>SUM(B5:B15)</f>
        <v>1840193911.5699999</v>
      </c>
      <c r="C16" s="1153">
        <f>SUM(C5:C15)</f>
        <v>400000000</v>
      </c>
      <c r="D16" s="1153">
        <f>SUM(D5:D15)</f>
        <v>36050495401.68</v>
      </c>
      <c r="E16" s="1153">
        <f>SUM(E5:E15)</f>
        <v>101973521844.91373</v>
      </c>
      <c r="F16" s="1151">
        <f>SUM(F5:F15)</f>
        <v>140264211158.16373</v>
      </c>
      <c r="J16" s="1147"/>
    </row>
    <row r="17" spans="2:11">
      <c r="J17" s="1147"/>
    </row>
    <row r="18" spans="2:11">
      <c r="J18" s="1147"/>
    </row>
    <row r="19" spans="2:11">
      <c r="B19" s="1534" t="e">
        <f>+B16-#REF!</f>
        <v>#REF!</v>
      </c>
      <c r="E19" s="1536"/>
    </row>
    <row r="20" spans="2:11">
      <c r="D20" s="1535"/>
    </row>
    <row r="21" spans="2:11">
      <c r="K21" s="1458"/>
    </row>
  </sheetData>
  <mergeCells count="1">
    <mergeCell ref="A1:H2"/>
  </mergeCells>
  <pageMargins left="0.7" right="0.7" top="0.75" bottom="0.75" header="0.3" footer="0.3"/>
  <pageSetup scale="73"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N50"/>
  <sheetViews>
    <sheetView showGridLines="0" view="pageBreakPreview" zoomScale="85" zoomScaleNormal="100" zoomScaleSheetLayoutView="85" workbookViewId="0">
      <selection activeCell="E51" sqref="E51"/>
    </sheetView>
  </sheetViews>
  <sheetFormatPr baseColWidth="10" defaultRowHeight="15"/>
  <cols>
    <col min="4" max="5" width="17.42578125" bestFit="1" customWidth="1"/>
    <col min="8" max="8" width="18.42578125" customWidth="1"/>
    <col min="11" max="11" width="18.85546875" customWidth="1"/>
    <col min="12" max="12" width="16.140625" customWidth="1"/>
    <col min="13" max="13" width="24.7109375" customWidth="1"/>
  </cols>
  <sheetData>
    <row r="1" spans="1:13" ht="21">
      <c r="A1" s="1131" t="s">
        <v>736</v>
      </c>
    </row>
    <row r="2" spans="1:13" ht="21">
      <c r="A2" s="1131" t="s">
        <v>737</v>
      </c>
    </row>
    <row r="3" spans="1:13" ht="21">
      <c r="A3" s="1131" t="s">
        <v>738</v>
      </c>
    </row>
    <row r="9" spans="1:13">
      <c r="M9" s="165"/>
    </row>
    <row r="12" spans="1:13">
      <c r="M12" s="284"/>
    </row>
    <row r="22" spans="13:14">
      <c r="M22" s="182"/>
    </row>
    <row r="27" spans="13:14">
      <c r="M27" s="182"/>
    </row>
    <row r="28" spans="13:14">
      <c r="M28" s="182"/>
    </row>
    <row r="29" spans="13:14">
      <c r="M29" s="182"/>
    </row>
    <row r="30" spans="13:14">
      <c r="N30" s="182"/>
    </row>
    <row r="46" spans="2:10">
      <c r="B46" s="182"/>
      <c r="C46" s="182"/>
      <c r="D46" s="1562"/>
      <c r="E46" s="1562"/>
      <c r="F46" s="182"/>
    </row>
    <row r="47" spans="2:10">
      <c r="J47" s="182"/>
    </row>
    <row r="48" spans="2:10">
      <c r="J48" s="182"/>
    </row>
    <row r="49" spans="10:10">
      <c r="J49" s="182"/>
    </row>
    <row r="50" spans="10:10">
      <c r="J50" s="182"/>
    </row>
  </sheetData>
  <pageMargins left="0.7" right="0.7" top="0.75" bottom="0.75" header="0.3" footer="0.3"/>
  <pageSetup scale="73"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S39"/>
  <sheetViews>
    <sheetView showGridLines="0" view="pageBreakPreview" zoomScale="70" zoomScaleNormal="66" zoomScaleSheetLayoutView="70" workbookViewId="0">
      <pane xSplit="1" ySplit="3" topLeftCell="E4" activePane="bottomRight" state="frozen"/>
      <selection pane="topRight" activeCell="B1" sqref="B1"/>
      <selection pane="bottomLeft" activeCell="A4" sqref="A4"/>
      <selection pane="bottomRight" activeCell="O37" sqref="O37"/>
    </sheetView>
  </sheetViews>
  <sheetFormatPr baseColWidth="10" defaultColWidth="11.5703125" defaultRowHeight="15"/>
  <cols>
    <col min="1" max="1" width="28.140625" style="45" customWidth="1"/>
    <col min="2" max="2" width="21" style="45" customWidth="1"/>
    <col min="3" max="3" width="23" style="45" customWidth="1"/>
    <col min="4" max="4" width="22.28515625" style="45" customWidth="1"/>
    <col min="5" max="5" width="22.7109375" style="45" customWidth="1"/>
    <col min="6" max="7" width="23.5703125" style="45" customWidth="1"/>
    <col min="8" max="8" width="21.140625" style="45" customWidth="1"/>
    <col min="9" max="10" width="21.42578125" style="45" customWidth="1"/>
    <col min="11" max="11" width="29.140625" style="45" customWidth="1"/>
    <col min="12" max="12" width="7.42578125" style="45" customWidth="1"/>
    <col min="13" max="13" width="8.7109375" style="45" customWidth="1"/>
    <col min="14" max="14" width="12.5703125" style="45" customWidth="1"/>
    <col min="15" max="15" width="28.85546875" style="45" customWidth="1"/>
    <col min="16" max="16" width="18.5703125" style="45" customWidth="1"/>
    <col min="17" max="16384" width="11.5703125" style="45"/>
  </cols>
  <sheetData>
    <row r="1" spans="1:17" ht="104.25" customHeight="1">
      <c r="A1" s="1845"/>
      <c r="B1" s="1845"/>
      <c r="C1" s="1845"/>
      <c r="D1" s="1845"/>
      <c r="E1" s="1845"/>
      <c r="F1" s="1845"/>
      <c r="G1" s="1845"/>
      <c r="H1" s="1845"/>
      <c r="I1" s="1845"/>
      <c r="J1" s="1845"/>
      <c r="K1" s="1845"/>
      <c r="L1" s="1845"/>
      <c r="M1" s="1845"/>
      <c r="N1"/>
      <c r="O1"/>
      <c r="P1"/>
    </row>
    <row r="2" spans="1:17" ht="15" customHeight="1">
      <c r="A2" s="1933"/>
      <c r="B2" s="1934"/>
      <c r="C2" s="1934"/>
      <c r="D2" s="1934"/>
      <c r="E2" s="1934"/>
      <c r="F2" s="1934"/>
      <c r="G2" s="1934"/>
      <c r="H2" s="1934"/>
      <c r="I2" s="1934"/>
      <c r="J2" s="1934"/>
      <c r="K2" s="1934"/>
      <c r="L2" s="1934"/>
      <c r="M2" s="1934"/>
      <c r="N2"/>
      <c r="O2"/>
      <c r="P2"/>
    </row>
    <row r="3" spans="1:17" ht="23.25" customHeight="1">
      <c r="A3" s="558" t="s">
        <v>181</v>
      </c>
      <c r="B3" s="546">
        <v>2007</v>
      </c>
      <c r="C3" s="546">
        <v>2008</v>
      </c>
      <c r="D3" s="546">
        <v>2009</v>
      </c>
      <c r="E3" s="546">
        <v>2010</v>
      </c>
      <c r="F3" s="546">
        <v>2011</v>
      </c>
      <c r="G3" s="546" t="s">
        <v>492</v>
      </c>
      <c r="H3" s="546" t="s">
        <v>611</v>
      </c>
      <c r="I3" s="546" t="s">
        <v>612</v>
      </c>
      <c r="J3" s="546" t="s">
        <v>965</v>
      </c>
      <c r="K3" s="881" t="s">
        <v>964</v>
      </c>
      <c r="L3" s="178"/>
      <c r="N3"/>
      <c r="P3"/>
    </row>
    <row r="4" spans="1:17" ht="19.5" customHeight="1">
      <c r="A4" s="559" t="s">
        <v>218</v>
      </c>
      <c r="B4" s="544">
        <v>2756085890.3800001</v>
      </c>
      <c r="C4" s="544">
        <v>12262043622.240002</v>
      </c>
      <c r="D4" s="545">
        <v>14997271060.829998</v>
      </c>
      <c r="E4" s="545">
        <v>20037998054.760002</v>
      </c>
      <c r="F4" s="545">
        <v>22215656750.489998</v>
      </c>
      <c r="G4" s="545">
        <v>25323798457.93</v>
      </c>
      <c r="H4" s="545">
        <v>27866096681.57</v>
      </c>
      <c r="I4" s="545">
        <v>31167111771.200001</v>
      </c>
      <c r="J4" s="545">
        <v>16582749042.689999</v>
      </c>
      <c r="K4" s="882">
        <f>SUM(B4:J4)</f>
        <v>173208811332.09003</v>
      </c>
      <c r="L4" s="178"/>
      <c r="N4" s="165"/>
      <c r="O4" s="182"/>
      <c r="P4"/>
    </row>
    <row r="5" spans="1:17" ht="17.25">
      <c r="A5" s="559" t="s">
        <v>104</v>
      </c>
      <c r="B5" s="544">
        <v>71139452</v>
      </c>
      <c r="C5" s="544">
        <v>245511975</v>
      </c>
      <c r="D5" s="545">
        <v>83348568.400000006</v>
      </c>
      <c r="E5" s="545">
        <v>0</v>
      </c>
      <c r="F5" s="545">
        <v>149163844</v>
      </c>
      <c r="G5" s="545">
        <v>182825831.59999999</v>
      </c>
      <c r="H5" s="545">
        <v>213705747.60000002</v>
      </c>
      <c r="I5" s="545">
        <v>260908691.69999999</v>
      </c>
      <c r="J5" s="545">
        <v>166901917.5</v>
      </c>
      <c r="K5" s="882">
        <f>SUM(B5:J5)</f>
        <v>1373506027.8</v>
      </c>
      <c r="L5" s="81"/>
      <c r="M5" s="47"/>
      <c r="N5" s="165"/>
      <c r="O5" s="165"/>
      <c r="P5"/>
    </row>
    <row r="6" spans="1:17" ht="17.25">
      <c r="A6" s="559" t="s">
        <v>105</v>
      </c>
      <c r="B6" s="544">
        <v>0</v>
      </c>
      <c r="C6" s="544">
        <v>283848938.23000002</v>
      </c>
      <c r="D6" s="545">
        <v>717406862.31000018</v>
      </c>
      <c r="E6" s="545">
        <v>958993042.63</v>
      </c>
      <c r="F6" s="545">
        <v>1126433498.0599999</v>
      </c>
      <c r="G6" s="545">
        <v>1222112428.3699999</v>
      </c>
      <c r="H6" s="545">
        <v>1358265601.1399999</v>
      </c>
      <c r="I6" s="545">
        <v>1556233315.7999997</v>
      </c>
      <c r="J6" s="545">
        <v>815256927.48000002</v>
      </c>
      <c r="K6" s="882">
        <f t="shared" ref="K6:K7" si="0">SUM(B6:J6)</f>
        <v>8038550614.0199986</v>
      </c>
      <c r="L6" s="81"/>
      <c r="M6" s="47"/>
      <c r="N6" s="165"/>
      <c r="O6"/>
    </row>
    <row r="7" spans="1:17" ht="17.25">
      <c r="A7" s="559" t="s">
        <v>106</v>
      </c>
      <c r="B7" s="544">
        <v>0</v>
      </c>
      <c r="C7" s="544">
        <v>38720972.609999999</v>
      </c>
      <c r="D7" s="545">
        <v>121903634.47</v>
      </c>
      <c r="E7" s="545">
        <v>138388657.69999999</v>
      </c>
      <c r="F7" s="545">
        <v>155182686.03</v>
      </c>
      <c r="G7" s="545">
        <v>171240027.52000004</v>
      </c>
      <c r="H7" s="545">
        <v>190492244.19999999</v>
      </c>
      <c r="I7" s="545">
        <v>215918628.93000001</v>
      </c>
      <c r="J7" s="545">
        <v>116706322.91</v>
      </c>
      <c r="K7" s="882">
        <f t="shared" si="0"/>
        <v>1148553174.3700001</v>
      </c>
      <c r="L7" s="81"/>
      <c r="M7" s="47"/>
      <c r="N7" s="165"/>
      <c r="O7"/>
      <c r="P7" s="77"/>
    </row>
    <row r="8" spans="1:17" ht="17.25">
      <c r="A8" s="559" t="s">
        <v>144</v>
      </c>
      <c r="B8" s="544">
        <v>0</v>
      </c>
      <c r="C8" s="544">
        <v>0</v>
      </c>
      <c r="D8" s="545">
        <v>16656000</v>
      </c>
      <c r="E8" s="545">
        <v>68030000</v>
      </c>
      <c r="F8" s="545">
        <v>168385579.84999999</v>
      </c>
      <c r="G8" s="545">
        <v>182376500</v>
      </c>
      <c r="H8" s="545">
        <v>215786255.86000001</v>
      </c>
      <c r="I8" s="545">
        <v>262429320</v>
      </c>
      <c r="J8" s="545">
        <v>141187420</v>
      </c>
      <c r="K8" s="882">
        <f t="shared" ref="K8" si="1">SUM(B8:J8)</f>
        <v>1054851075.71</v>
      </c>
      <c r="L8" s="81"/>
      <c r="M8" s="47"/>
      <c r="N8" s="165"/>
      <c r="O8"/>
      <c r="P8" s="77"/>
    </row>
    <row r="9" spans="1:17" s="879" customFormat="1" ht="18" customHeight="1">
      <c r="A9" s="560" t="s">
        <v>43</v>
      </c>
      <c r="B9" s="547">
        <f t="shared" ref="B9:J9" si="2">SUM(B4:B8)</f>
        <v>2827225342.3800001</v>
      </c>
      <c r="C9" s="547">
        <f t="shared" si="2"/>
        <v>12830125508.080002</v>
      </c>
      <c r="D9" s="547">
        <f t="shared" si="2"/>
        <v>15936586126.009996</v>
      </c>
      <c r="E9" s="547">
        <f t="shared" si="2"/>
        <v>21203409755.090004</v>
      </c>
      <c r="F9" s="547">
        <f t="shared" si="2"/>
        <v>23814822358.429996</v>
      </c>
      <c r="G9" s="547">
        <f t="shared" si="2"/>
        <v>27082353245.419998</v>
      </c>
      <c r="H9" s="547">
        <f t="shared" si="2"/>
        <v>29844346530.369999</v>
      </c>
      <c r="I9" s="547">
        <f t="shared" si="2"/>
        <v>33462601727.630001</v>
      </c>
      <c r="J9" s="547">
        <f t="shared" si="2"/>
        <v>17822801630.579998</v>
      </c>
      <c r="K9" s="542">
        <f>SUM(K4:K8)</f>
        <v>184824272223.98999</v>
      </c>
      <c r="L9" s="543"/>
      <c r="N9" s="165"/>
      <c r="O9"/>
      <c r="P9" s="45"/>
      <c r="Q9" s="45"/>
    </row>
    <row r="10" spans="1:17" ht="35.25" customHeight="1">
      <c r="A10" s="1935" t="s">
        <v>613</v>
      </c>
      <c r="B10" s="1935"/>
      <c r="C10" s="1935"/>
      <c r="D10" s="1935"/>
      <c r="E10" s="1935"/>
      <c r="F10" s="1935"/>
      <c r="G10" s="1461"/>
      <c r="H10" s="1461"/>
      <c r="I10" s="1461"/>
      <c r="J10" s="1461"/>
      <c r="K10" s="1459"/>
      <c r="N10"/>
      <c r="O10" s="1715"/>
    </row>
    <row r="11" spans="1:17" ht="15.75">
      <c r="B11" s="110"/>
      <c r="C11" s="110"/>
      <c r="D11" s="110"/>
      <c r="E11" s="110"/>
      <c r="F11" s="110"/>
      <c r="G11" s="110"/>
      <c r="H11" s="110"/>
      <c r="I11" s="110"/>
      <c r="J11" s="110"/>
      <c r="L11" s="110"/>
      <c r="M11" s="110"/>
      <c r="N11"/>
      <c r="O11" s="1714"/>
    </row>
    <row r="12" spans="1:17" ht="18">
      <c r="B12" s="110"/>
      <c r="C12" s="1465"/>
      <c r="D12" s="110"/>
      <c r="E12" s="110"/>
      <c r="F12" s="110"/>
      <c r="G12" s="110"/>
      <c r="H12" s="110"/>
      <c r="I12" s="110"/>
      <c r="J12" s="110"/>
      <c r="K12" s="110"/>
      <c r="L12" s="110"/>
      <c r="M12" s="110"/>
      <c r="N12"/>
      <c r="O12" s="1715"/>
    </row>
    <row r="13" spans="1:17" ht="18">
      <c r="B13" s="110"/>
      <c r="C13" s="1465"/>
      <c r="D13" s="110"/>
      <c r="E13" s="110"/>
      <c r="F13" s="110"/>
      <c r="G13" s="110"/>
      <c r="H13" s="110"/>
      <c r="I13" s="110"/>
      <c r="J13" s="110"/>
      <c r="K13" s="110"/>
      <c r="L13" s="110"/>
      <c r="M13" s="110"/>
      <c r="N13"/>
      <c r="O13" s="152"/>
    </row>
    <row r="14" spans="1:17" ht="21">
      <c r="B14" s="110"/>
      <c r="C14" s="1465"/>
      <c r="D14" s="29"/>
      <c r="E14" s="110"/>
      <c r="F14" s="110"/>
      <c r="G14" s="110"/>
      <c r="H14" s="110"/>
      <c r="I14" s="110"/>
      <c r="J14" s="110"/>
      <c r="K14" s="1317"/>
      <c r="L14" s="110"/>
      <c r="M14" s="110"/>
      <c r="N14"/>
      <c r="O14"/>
    </row>
    <row r="15" spans="1:17" ht="18">
      <c r="B15" s="110"/>
      <c r="C15" s="1465"/>
      <c r="D15" s="29"/>
      <c r="E15" s="29"/>
      <c r="F15" s="110"/>
      <c r="G15" s="110"/>
      <c r="H15" s="110"/>
      <c r="I15" s="110"/>
      <c r="J15" s="110"/>
      <c r="K15" s="29"/>
      <c r="L15" s="29"/>
      <c r="M15" s="29"/>
      <c r="N15"/>
      <c r="O15"/>
      <c r="P15"/>
    </row>
    <row r="16" spans="1:17" ht="18">
      <c r="B16" s="110"/>
      <c r="C16" s="1465"/>
      <c r="D16" s="29"/>
      <c r="E16" s="29"/>
      <c r="F16" s="110"/>
      <c r="G16" s="110"/>
      <c r="H16" s="110"/>
      <c r="I16" s="110"/>
      <c r="J16" s="110"/>
      <c r="K16" s="29"/>
      <c r="L16" s="29"/>
      <c r="M16" s="29"/>
      <c r="N16"/>
      <c r="O16"/>
      <c r="P16"/>
    </row>
    <row r="17" spans="2:19" ht="18">
      <c r="B17" s="110"/>
      <c r="C17" s="1465"/>
      <c r="D17" s="29"/>
      <c r="E17" s="29"/>
      <c r="F17" s="110"/>
      <c r="G17" s="110"/>
      <c r="H17" s="110"/>
      <c r="I17" s="110"/>
      <c r="J17" s="110"/>
      <c r="K17" s="29"/>
      <c r="L17" s="29"/>
      <c r="M17" s="29"/>
      <c r="N17"/>
      <c r="O17" s="927"/>
      <c r="P17"/>
    </row>
    <row r="18" spans="2:19" ht="18">
      <c r="B18" s="110"/>
      <c r="C18" s="1465"/>
      <c r="D18" s="29"/>
      <c r="E18" s="29"/>
      <c r="F18" s="110"/>
      <c r="G18" s="110"/>
      <c r="H18" s="110"/>
      <c r="I18" s="110"/>
      <c r="J18" s="110"/>
      <c r="K18" s="29"/>
      <c r="L18" s="29"/>
      <c r="M18" s="29"/>
      <c r="N18"/>
      <c r="O18"/>
      <c r="P18"/>
    </row>
    <row r="19" spans="2:19" ht="18">
      <c r="B19" s="110"/>
      <c r="C19" s="1465"/>
      <c r="D19" s="29"/>
      <c r="E19" s="29"/>
      <c r="F19" s="29"/>
      <c r="G19" s="29"/>
      <c r="H19" s="29"/>
      <c r="I19" s="29"/>
      <c r="J19" s="29"/>
      <c r="K19" s="29"/>
      <c r="L19" s="29"/>
      <c r="M19" s="29"/>
      <c r="N19"/>
      <c r="O19"/>
      <c r="P19"/>
    </row>
    <row r="20" spans="2:19" ht="18">
      <c r="B20" s="110"/>
      <c r="C20" s="1465"/>
      <c r="D20" s="29"/>
      <c r="E20" s="29"/>
      <c r="F20" s="29"/>
      <c r="G20" s="29"/>
      <c r="H20" s="29"/>
      <c r="I20" s="29"/>
      <c r="J20" s="29"/>
      <c r="K20" s="29"/>
      <c r="L20" s="29"/>
      <c r="M20" s="29"/>
      <c r="N20"/>
      <c r="O20"/>
      <c r="P20"/>
    </row>
    <row r="21" spans="2:19">
      <c r="B21" s="29"/>
      <c r="C21" s="29"/>
      <c r="D21" s="29"/>
      <c r="E21" s="29"/>
      <c r="F21" s="29"/>
      <c r="G21" s="29"/>
      <c r="H21" s="29"/>
      <c r="I21" s="29"/>
      <c r="J21" s="29"/>
      <c r="K21" s="29"/>
      <c r="L21" s="29"/>
      <c r="M21" s="29"/>
      <c r="N21"/>
      <c r="O21"/>
      <c r="P21"/>
    </row>
    <row r="22" spans="2:19">
      <c r="B22" s="29"/>
      <c r="C22" s="29"/>
      <c r="D22" s="29"/>
      <c r="E22" s="29"/>
      <c r="F22" s="29"/>
      <c r="G22" s="29"/>
      <c r="H22" s="29"/>
      <c r="I22" s="29"/>
      <c r="J22" s="29"/>
      <c r="K22" s="29"/>
      <c r="L22" s="29"/>
      <c r="M22" s="29"/>
      <c r="N22"/>
      <c r="O22"/>
      <c r="P22"/>
      <c r="Q22" s="880"/>
      <c r="R22" s="880"/>
      <c r="S22" s="880"/>
    </row>
    <row r="23" spans="2:19">
      <c r="B23" s="29"/>
      <c r="C23" s="29"/>
      <c r="D23" s="29"/>
      <c r="E23" s="29"/>
      <c r="F23" s="29"/>
      <c r="G23" s="29"/>
      <c r="H23" s="29"/>
      <c r="I23" s="29"/>
      <c r="J23" s="29"/>
      <c r="K23" s="29"/>
      <c r="L23" s="29"/>
      <c r="M23" s="29"/>
      <c r="N23"/>
      <c r="O23"/>
      <c r="P23"/>
      <c r="Q23" s="880"/>
      <c r="R23" s="880"/>
      <c r="S23" s="880"/>
    </row>
    <row r="24" spans="2:19">
      <c r="B24" s="29"/>
      <c r="C24" s="29"/>
      <c r="D24" s="29"/>
      <c r="E24" s="29"/>
      <c r="F24" s="29"/>
      <c r="G24" s="29"/>
      <c r="H24" s="29"/>
      <c r="I24" s="29"/>
      <c r="J24" s="29"/>
      <c r="K24" s="29"/>
      <c r="L24" s="29"/>
      <c r="M24" s="29"/>
      <c r="N24"/>
      <c r="O24"/>
      <c r="P24"/>
      <c r="Q24" s="880"/>
      <c r="R24" s="880"/>
      <c r="S24" s="880"/>
    </row>
    <row r="25" spans="2:19">
      <c r="B25" s="29"/>
      <c r="C25" s="29"/>
      <c r="D25" s="29"/>
      <c r="E25" s="29"/>
      <c r="F25" s="29"/>
      <c r="G25" s="29"/>
      <c r="H25" s="29"/>
      <c r="I25" s="29"/>
      <c r="J25" s="29"/>
      <c r="K25" s="29"/>
      <c r="L25" s="29"/>
      <c r="M25" s="29"/>
      <c r="N25"/>
      <c r="O25"/>
      <c r="P25"/>
      <c r="Q25" s="880"/>
      <c r="R25" s="880"/>
      <c r="S25" s="880"/>
    </row>
    <row r="26" spans="2:19">
      <c r="B26" s="29"/>
      <c r="C26" s="29"/>
      <c r="D26" s="29"/>
      <c r="E26" s="29"/>
      <c r="F26" s="29"/>
      <c r="G26" s="29"/>
      <c r="H26" s="29"/>
      <c r="I26" s="29"/>
      <c r="J26" s="29"/>
      <c r="K26" s="29"/>
      <c r="L26" s="29"/>
      <c r="M26" s="29"/>
      <c r="N26"/>
      <c r="O26"/>
      <c r="P26"/>
      <c r="Q26" s="880"/>
      <c r="R26" s="880"/>
      <c r="S26" s="880"/>
    </row>
    <row r="27" spans="2:19">
      <c r="B27" s="29"/>
      <c r="C27" s="29"/>
      <c r="D27" s="29"/>
      <c r="E27" s="29"/>
      <c r="F27" s="29"/>
      <c r="G27" s="29"/>
      <c r="H27" s="29"/>
      <c r="I27" s="29"/>
      <c r="J27" s="29"/>
      <c r="K27" s="29"/>
      <c r="L27" s="29"/>
      <c r="M27" s="29"/>
      <c r="N27" s="880"/>
      <c r="O27" s="880"/>
      <c r="P27" s="880"/>
      <c r="Q27" s="880"/>
      <c r="R27" s="880"/>
      <c r="S27" s="880"/>
    </row>
    <row r="28" spans="2:19">
      <c r="B28" s="110"/>
      <c r="C28" s="110"/>
      <c r="D28" s="110"/>
      <c r="E28" s="110"/>
      <c r="F28" s="110"/>
      <c r="G28" s="110"/>
      <c r="H28" s="110"/>
      <c r="I28" s="110"/>
      <c r="J28" s="110"/>
      <c r="K28" s="110"/>
      <c r="L28" s="110"/>
      <c r="M28" s="110"/>
    </row>
    <row r="29" spans="2:19">
      <c r="B29" s="110"/>
      <c r="C29" s="110"/>
      <c r="D29" s="110"/>
      <c r="E29" s="110"/>
      <c r="F29" s="110"/>
      <c r="G29" s="110"/>
      <c r="H29" s="110"/>
      <c r="I29" s="110"/>
      <c r="J29" s="110"/>
      <c r="K29" s="110"/>
      <c r="L29" s="110"/>
      <c r="M29" s="110"/>
    </row>
    <row r="30" spans="2:19">
      <c r="B30" s="110"/>
      <c r="C30" s="110"/>
      <c r="D30" s="110"/>
      <c r="E30" s="110"/>
      <c r="F30" s="110"/>
      <c r="G30" s="110"/>
      <c r="H30" s="110"/>
      <c r="I30" s="110"/>
      <c r="J30" s="110"/>
      <c r="K30" s="110"/>
      <c r="L30" s="110"/>
      <c r="M30" s="110"/>
    </row>
    <row r="31" spans="2:19">
      <c r="B31" s="110"/>
      <c r="C31" s="110"/>
      <c r="D31" s="110"/>
      <c r="E31" s="110"/>
      <c r="F31" s="110"/>
      <c r="G31" s="110"/>
      <c r="H31" s="110"/>
      <c r="I31" s="110"/>
      <c r="J31" s="110"/>
      <c r="K31" s="110"/>
      <c r="L31" s="110"/>
      <c r="M31" s="110"/>
    </row>
    <row r="32" spans="2:19">
      <c r="B32" s="110"/>
      <c r="C32" s="110"/>
      <c r="D32" s="110"/>
      <c r="E32" s="110"/>
      <c r="F32" s="110"/>
      <c r="G32" s="110"/>
      <c r="H32" s="110"/>
      <c r="I32" s="110"/>
      <c r="J32" s="110"/>
      <c r="K32" s="110"/>
      <c r="L32" s="110"/>
      <c r="M32" s="110"/>
    </row>
    <row r="33" spans="2:13">
      <c r="B33" s="110"/>
      <c r="C33" s="110"/>
      <c r="D33" s="110"/>
      <c r="E33" s="110"/>
      <c r="F33" s="110"/>
      <c r="G33" s="110"/>
      <c r="H33" s="110"/>
      <c r="I33" s="110"/>
      <c r="J33" s="110"/>
      <c r="K33" s="110"/>
      <c r="L33" s="110"/>
      <c r="M33" s="110"/>
    </row>
    <row r="34" spans="2:13">
      <c r="B34" s="110"/>
      <c r="C34" s="110"/>
      <c r="D34" s="110"/>
      <c r="E34" s="110"/>
      <c r="F34" s="110"/>
      <c r="G34" s="110"/>
      <c r="H34" s="110"/>
      <c r="I34" s="110"/>
      <c r="J34" s="110"/>
      <c r="K34" s="110"/>
      <c r="L34" s="110"/>
      <c r="M34" s="110"/>
    </row>
    <row r="35" spans="2:13">
      <c r="B35" s="110"/>
      <c r="C35" s="110"/>
      <c r="D35" s="110"/>
      <c r="E35" s="110"/>
      <c r="F35" s="110"/>
      <c r="G35" s="110"/>
      <c r="H35" s="110"/>
      <c r="I35" s="110"/>
      <c r="J35" s="110"/>
      <c r="K35" s="110"/>
      <c r="L35" s="110"/>
      <c r="M35" s="110"/>
    </row>
    <row r="36" spans="2:13">
      <c r="B36" s="110"/>
      <c r="C36" s="110"/>
      <c r="D36" s="110"/>
      <c r="E36" s="110"/>
      <c r="F36" s="110"/>
      <c r="G36" s="110"/>
      <c r="H36" s="110"/>
      <c r="I36" s="110"/>
      <c r="J36" s="110"/>
      <c r="K36" s="110"/>
      <c r="L36" s="110"/>
      <c r="M36" s="110"/>
    </row>
    <row r="37" spans="2:13">
      <c r="B37" s="110"/>
      <c r="C37" s="110"/>
      <c r="D37" s="110"/>
      <c r="E37" s="110"/>
      <c r="F37" s="110"/>
      <c r="G37" s="110"/>
      <c r="H37" s="110"/>
      <c r="I37" s="110"/>
      <c r="J37" s="110"/>
      <c r="K37" s="110"/>
      <c r="L37" s="110"/>
      <c r="M37" s="110"/>
    </row>
    <row r="38" spans="2:13">
      <c r="B38" s="110"/>
      <c r="C38" s="110"/>
      <c r="D38" s="110"/>
      <c r="E38" s="110"/>
      <c r="F38" s="110"/>
      <c r="G38" s="110"/>
      <c r="H38" s="110"/>
      <c r="I38" s="110"/>
      <c r="J38" s="110"/>
      <c r="K38" s="110"/>
      <c r="L38" s="110"/>
      <c r="M38" s="110"/>
    </row>
    <row r="39" spans="2:13">
      <c r="B39" s="110"/>
      <c r="C39" s="110"/>
      <c r="D39" s="110"/>
      <c r="E39" s="110"/>
      <c r="F39" s="110"/>
      <c r="G39" s="110"/>
      <c r="H39" s="110"/>
      <c r="I39" s="110"/>
      <c r="J39" s="110"/>
      <c r="K39" s="110"/>
      <c r="L39" s="110"/>
      <c r="M39" s="110"/>
    </row>
  </sheetData>
  <mergeCells count="3">
    <mergeCell ref="A1:M1"/>
    <mergeCell ref="A2:M2"/>
    <mergeCell ref="A10:F10"/>
  </mergeCells>
  <printOptions horizontalCentered="1" verticalCentered="1"/>
  <pageMargins left="0.4" right="0.4" top="0.25" bottom="0.25" header="0.31496062992126" footer="0.31496062992126"/>
  <pageSetup scale="48"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6"/>
  <sheetViews>
    <sheetView showGridLines="0" view="pageBreakPreview" zoomScale="70" zoomScaleNormal="55" zoomScaleSheetLayoutView="70" workbookViewId="0">
      <selection activeCell="I10" sqref="I10"/>
    </sheetView>
  </sheetViews>
  <sheetFormatPr baseColWidth="10" defaultColWidth="11.5703125" defaultRowHeight="18"/>
  <cols>
    <col min="1" max="1" width="14.85546875" customWidth="1"/>
    <col min="2" max="2" width="21.42578125" customWidth="1"/>
    <col min="3" max="3" width="20" style="77" customWidth="1"/>
    <col min="4" max="4" width="20.7109375" customWidth="1"/>
    <col min="5" max="5" width="20.5703125" customWidth="1"/>
    <col min="6" max="6" width="20.7109375" customWidth="1"/>
    <col min="7" max="7" width="20.7109375" style="77" customWidth="1"/>
    <col min="8" max="8" width="21.85546875" customWidth="1"/>
    <col min="9" max="10" width="21.28515625" style="77" customWidth="1"/>
    <col min="11" max="11" width="26.28515625" customWidth="1"/>
    <col min="13" max="13" width="20.140625" customWidth="1"/>
    <col min="14" max="14" width="25.7109375" style="41" bestFit="1" customWidth="1"/>
    <col min="15" max="15" width="21.28515625" style="41" bestFit="1" customWidth="1"/>
    <col min="16" max="17" width="29.28515625" style="41" bestFit="1" customWidth="1"/>
    <col min="18" max="18" width="21.140625" style="41" customWidth="1"/>
    <col min="19" max="19" width="22" style="41" customWidth="1"/>
    <col min="20" max="20" width="22.7109375" style="41" bestFit="1" customWidth="1"/>
    <col min="21" max="21" width="21.28515625" style="40" bestFit="1" customWidth="1"/>
    <col min="22" max="22" width="22.140625" style="40" bestFit="1" customWidth="1"/>
    <col min="23" max="23" width="22.85546875" style="40" bestFit="1" customWidth="1"/>
  </cols>
  <sheetData>
    <row r="1" spans="1:24" ht="87.75" customHeight="1">
      <c r="A1" s="1936"/>
      <c r="B1" s="1936"/>
      <c r="C1" s="1936"/>
      <c r="D1" s="1936"/>
      <c r="E1" s="1936"/>
      <c r="F1" s="1936"/>
      <c r="G1" s="1936"/>
      <c r="H1" s="1936"/>
      <c r="I1" s="1936"/>
      <c r="J1" s="1936"/>
      <c r="K1" s="1936"/>
    </row>
    <row r="2" spans="1:24" s="39" customFormat="1" ht="6" customHeight="1">
      <c r="A2" s="188"/>
      <c r="B2" s="188"/>
      <c r="C2" s="188"/>
      <c r="D2" s="188"/>
      <c r="E2" s="188"/>
      <c r="F2" s="188"/>
      <c r="G2" s="1584"/>
      <c r="H2" s="188"/>
      <c r="I2" s="188"/>
      <c r="J2" s="188"/>
      <c r="K2" s="188"/>
      <c r="N2" s="199"/>
      <c r="O2" s="199"/>
      <c r="P2" s="199"/>
      <c r="Q2" s="199"/>
      <c r="R2" s="199"/>
      <c r="S2" s="199"/>
      <c r="T2" s="199"/>
      <c r="U2" s="200"/>
      <c r="V2" s="200"/>
      <c r="W2" s="200"/>
    </row>
    <row r="3" spans="1:24" ht="30.75" customHeight="1">
      <c r="A3" s="567" t="s">
        <v>47</v>
      </c>
      <c r="B3" s="571" t="s">
        <v>45</v>
      </c>
      <c r="C3" s="571" t="s">
        <v>211</v>
      </c>
      <c r="D3" s="571" t="s">
        <v>105</v>
      </c>
      <c r="E3" s="571" t="s">
        <v>106</v>
      </c>
      <c r="F3" s="571" t="s">
        <v>929</v>
      </c>
      <c r="G3" s="571" t="s">
        <v>930</v>
      </c>
      <c r="H3" s="567" t="s">
        <v>156</v>
      </c>
      <c r="I3" s="568"/>
      <c r="J3" s="568"/>
      <c r="K3" s="22"/>
      <c r="L3" s="22"/>
      <c r="N3"/>
      <c r="O3" s="40"/>
      <c r="P3" s="40"/>
      <c r="Q3" s="40"/>
      <c r="R3" s="40"/>
      <c r="S3" s="40"/>
      <c r="T3" s="40"/>
      <c r="X3" s="40"/>
    </row>
    <row r="4" spans="1:24" s="77" customFormat="1">
      <c r="A4" s="573">
        <v>41791</v>
      </c>
      <c r="B4" s="569">
        <v>2683967635.4099998</v>
      </c>
      <c r="C4" s="569">
        <v>43392624</v>
      </c>
      <c r="D4" s="569">
        <v>137309264.62</v>
      </c>
      <c r="E4" s="569">
        <v>18317103.920000002</v>
      </c>
      <c r="F4" s="569">
        <v>13402000</v>
      </c>
      <c r="G4" s="1585">
        <v>0</v>
      </c>
      <c r="H4" s="574">
        <f t="shared" ref="H4:H13" si="0">+F4+E4+D4+C4+B4+G4</f>
        <v>2896388627.9499998</v>
      </c>
      <c r="I4" s="570"/>
      <c r="J4" s="570"/>
      <c r="K4" s="94"/>
      <c r="L4" s="94"/>
      <c r="O4" s="40"/>
      <c r="P4" s="40"/>
      <c r="Q4" s="40"/>
      <c r="R4" s="40"/>
      <c r="S4" s="40"/>
      <c r="T4" s="40"/>
      <c r="U4" s="40"/>
      <c r="V4" s="40"/>
      <c r="W4" s="40"/>
      <c r="X4" s="40"/>
    </row>
    <row r="5" spans="1:24" s="77" customFormat="1">
      <c r="A5" s="573">
        <v>41821</v>
      </c>
      <c r="B5" s="569">
        <v>2594192728.46</v>
      </c>
      <c r="C5" s="569">
        <v>21695539.5</v>
      </c>
      <c r="D5" s="569">
        <v>133174993.88</v>
      </c>
      <c r="E5" s="569">
        <v>18106572.739999998</v>
      </c>
      <c r="F5" s="569">
        <v>13136000</v>
      </c>
      <c r="G5" s="1585">
        <v>0</v>
      </c>
      <c r="H5" s="574">
        <f t="shared" si="0"/>
        <v>2780305834.5799999</v>
      </c>
      <c r="I5" s="570"/>
      <c r="J5" s="570"/>
      <c r="K5" s="94"/>
      <c r="L5" s="94"/>
      <c r="O5" s="40"/>
      <c r="P5" s="40"/>
      <c r="Q5" s="40"/>
      <c r="R5" s="40"/>
      <c r="S5" s="40"/>
      <c r="T5" s="40"/>
      <c r="U5" s="40"/>
      <c r="V5" s="40"/>
      <c r="W5" s="40"/>
      <c r="X5" s="40"/>
    </row>
    <row r="6" spans="1:24" s="77" customFormat="1">
      <c r="A6" s="573">
        <v>41852</v>
      </c>
      <c r="B6" s="569">
        <v>2641820988.0099998</v>
      </c>
      <c r="C6" s="569">
        <v>22127010</v>
      </c>
      <c r="D6" s="569">
        <v>131852721.61</v>
      </c>
      <c r="E6" s="569">
        <v>18117489.039999999</v>
      </c>
      <c r="F6" s="569">
        <v>14004000</v>
      </c>
      <c r="G6" s="1585">
        <v>0</v>
      </c>
      <c r="H6" s="574">
        <f t="shared" si="0"/>
        <v>2827922208.6599998</v>
      </c>
      <c r="I6" s="570"/>
      <c r="J6" s="570"/>
      <c r="K6" s="94"/>
      <c r="L6" s="94"/>
      <c r="O6" s="40"/>
      <c r="P6" s="40"/>
      <c r="Q6" s="40"/>
      <c r="R6" s="40"/>
      <c r="S6" s="40"/>
      <c r="T6" s="40"/>
      <c r="U6" s="40"/>
      <c r="V6" s="40"/>
      <c r="W6" s="40"/>
      <c r="X6" s="40"/>
    </row>
    <row r="7" spans="1:24" s="77" customFormat="1">
      <c r="A7" s="573">
        <v>41883</v>
      </c>
      <c r="B7" s="569">
        <v>2631187836.6500001</v>
      </c>
      <c r="C7" s="569">
        <v>21933249</v>
      </c>
      <c r="D7" s="569">
        <v>134291668.47999999</v>
      </c>
      <c r="E7" s="569">
        <v>18358494.530000001</v>
      </c>
      <c r="F7" s="569">
        <v>15014000</v>
      </c>
      <c r="G7" s="1585">
        <v>0</v>
      </c>
      <c r="H7" s="574">
        <f t="shared" si="0"/>
        <v>2820785248.6599998</v>
      </c>
      <c r="I7" s="570"/>
      <c r="J7" s="570"/>
      <c r="K7" s="94"/>
      <c r="L7" s="94"/>
      <c r="O7" s="40"/>
      <c r="P7" s="40"/>
      <c r="Q7" s="40"/>
      <c r="R7" s="40"/>
      <c r="S7" s="40"/>
      <c r="T7" s="40"/>
      <c r="U7" s="40"/>
      <c r="V7" s="40"/>
      <c r="W7" s="40"/>
      <c r="X7" s="40"/>
    </row>
    <row r="8" spans="1:24" s="77" customFormat="1">
      <c r="A8" s="573">
        <v>41913</v>
      </c>
      <c r="B8" s="569">
        <v>2657402335.5600004</v>
      </c>
      <c r="C8" s="569">
        <v>22144288.5</v>
      </c>
      <c r="D8" s="569">
        <v>134502961.25999999</v>
      </c>
      <c r="E8" s="569">
        <v>18689133.52</v>
      </c>
      <c r="F8" s="569">
        <v>15616000</v>
      </c>
      <c r="G8" s="1585">
        <v>0</v>
      </c>
      <c r="H8" s="574">
        <f t="shared" si="0"/>
        <v>2848354718.8400002</v>
      </c>
      <c r="I8" s="570"/>
      <c r="J8" s="570"/>
      <c r="K8" s="94"/>
      <c r="L8" s="94"/>
      <c r="O8" s="40"/>
      <c r="P8" s="40"/>
      <c r="Q8" s="40"/>
      <c r="R8" s="40"/>
      <c r="S8" s="40"/>
      <c r="T8" s="40"/>
      <c r="U8" s="40"/>
      <c r="V8" s="40"/>
      <c r="W8" s="40"/>
      <c r="X8" s="40"/>
    </row>
    <row r="9" spans="1:24" s="77" customFormat="1">
      <c r="A9" s="573">
        <v>41944</v>
      </c>
      <c r="B9" s="569">
        <v>2675404983.6300001</v>
      </c>
      <c r="C9" s="569">
        <v>22622574</v>
      </c>
      <c r="D9" s="569">
        <v>129397014.25</v>
      </c>
      <c r="E9" s="569">
        <v>18490936.91</v>
      </c>
      <c r="F9" s="569">
        <v>15756000</v>
      </c>
      <c r="G9" s="1585">
        <v>0</v>
      </c>
      <c r="H9" s="574">
        <f t="shared" si="0"/>
        <v>2861671508.79</v>
      </c>
      <c r="I9" s="570"/>
      <c r="J9" s="570"/>
      <c r="K9" s="94"/>
      <c r="L9" s="94"/>
      <c r="O9" s="40"/>
      <c r="P9" s="40"/>
      <c r="Q9" s="40"/>
      <c r="R9" s="40"/>
      <c r="S9" s="40"/>
      <c r="T9" s="40"/>
      <c r="U9" s="40"/>
      <c r="V9" s="40"/>
      <c r="W9" s="40"/>
      <c r="X9" s="40"/>
    </row>
    <row r="10" spans="1:24" s="77" customFormat="1">
      <c r="A10" s="573">
        <v>41974</v>
      </c>
      <c r="B10" s="569">
        <v>2695428414.4199996</v>
      </c>
      <c r="C10" s="569">
        <v>22553880</v>
      </c>
      <c r="D10" s="569">
        <v>133971069.88</v>
      </c>
      <c r="E10" s="569">
        <v>19457072.02</v>
      </c>
      <c r="F10" s="569">
        <v>14748000</v>
      </c>
      <c r="G10" s="1585">
        <v>0</v>
      </c>
      <c r="H10" s="574">
        <f t="shared" si="0"/>
        <v>2886158436.3199997</v>
      </c>
      <c r="I10" s="570"/>
      <c r="J10" s="570"/>
      <c r="K10" s="94"/>
      <c r="L10" s="94"/>
      <c r="O10" s="40"/>
      <c r="P10" s="40"/>
      <c r="Q10" s="40"/>
      <c r="R10" s="40"/>
      <c r="S10" s="40"/>
      <c r="T10" s="40"/>
      <c r="U10" s="40"/>
      <c r="V10" s="40"/>
      <c r="W10" s="40"/>
      <c r="X10" s="40"/>
    </row>
    <row r="11" spans="1:24" s="77" customFormat="1">
      <c r="A11" s="573">
        <v>42005</v>
      </c>
      <c r="B11" s="569">
        <v>2706090096.8499999</v>
      </c>
      <c r="C11" s="569">
        <v>26935035</v>
      </c>
      <c r="D11" s="569">
        <v>128685947.84999999</v>
      </c>
      <c r="E11" s="569">
        <v>18409106.789999999</v>
      </c>
      <c r="F11" s="569">
        <v>14816000</v>
      </c>
      <c r="G11" s="1585">
        <v>0</v>
      </c>
      <c r="H11" s="574">
        <f t="shared" si="0"/>
        <v>2894936186.4899998</v>
      </c>
      <c r="I11" s="570"/>
      <c r="J11" s="570"/>
      <c r="K11" s="94"/>
      <c r="L11" s="94"/>
      <c r="O11" s="40"/>
      <c r="P11" s="40"/>
      <c r="Q11" s="40"/>
      <c r="R11" s="40"/>
      <c r="S11" s="40"/>
      <c r="T11" s="40"/>
      <c r="U11" s="40"/>
      <c r="V11" s="40"/>
      <c r="W11" s="40"/>
      <c r="X11" s="40"/>
    </row>
    <row r="12" spans="1:24" s="77" customFormat="1">
      <c r="A12" s="573">
        <v>42050</v>
      </c>
      <c r="B12" s="569">
        <v>2715305476.3699999</v>
      </c>
      <c r="C12" s="569">
        <v>27413422.5</v>
      </c>
      <c r="D12" s="569">
        <v>131476627.64</v>
      </c>
      <c r="E12" s="569">
        <v>18908389.609999999</v>
      </c>
      <c r="F12" s="569">
        <v>14174000</v>
      </c>
      <c r="G12" s="1585">
        <v>0</v>
      </c>
      <c r="H12" s="574">
        <f t="shared" si="0"/>
        <v>2907277916.1199999</v>
      </c>
      <c r="I12" s="570"/>
      <c r="J12" s="570"/>
      <c r="K12" s="94"/>
      <c r="L12" s="94"/>
      <c r="O12" s="40"/>
      <c r="P12" s="40"/>
      <c r="Q12" s="40"/>
      <c r="R12" s="40"/>
      <c r="S12" s="40"/>
      <c r="T12" s="40"/>
      <c r="U12" s="40"/>
      <c r="V12" s="40"/>
      <c r="W12" s="40"/>
      <c r="X12" s="40"/>
    </row>
    <row r="13" spans="1:24" s="77" customFormat="1">
      <c r="A13" s="573">
        <v>42078</v>
      </c>
      <c r="B13" s="569">
        <v>2770375708.0900002</v>
      </c>
      <c r="C13" s="569">
        <v>27668746.5</v>
      </c>
      <c r="D13" s="569">
        <v>138467247.25</v>
      </c>
      <c r="E13" s="569">
        <v>19882626.829999998</v>
      </c>
      <c r="F13" s="569">
        <v>13972000</v>
      </c>
      <c r="G13" s="1585">
        <v>0</v>
      </c>
      <c r="H13" s="574">
        <f t="shared" si="0"/>
        <v>2970366328.6700001</v>
      </c>
      <c r="I13" s="570"/>
      <c r="J13" s="570"/>
      <c r="K13" s="94"/>
      <c r="L13" s="94"/>
      <c r="O13" s="40"/>
      <c r="P13" s="40"/>
      <c r="Q13" s="40"/>
      <c r="R13" s="40"/>
      <c r="S13" s="40"/>
      <c r="T13" s="40"/>
      <c r="U13" s="40"/>
      <c r="V13" s="40"/>
      <c r="W13" s="40"/>
      <c r="X13" s="40"/>
    </row>
    <row r="14" spans="1:24" s="77" customFormat="1">
      <c r="A14" s="573">
        <v>42109</v>
      </c>
      <c r="B14" s="569">
        <v>2783474943.29</v>
      </c>
      <c r="C14" s="569">
        <v>28317622.5</v>
      </c>
      <c r="D14" s="569">
        <v>134538299.06</v>
      </c>
      <c r="E14" s="569">
        <v>19553715.449999999</v>
      </c>
      <c r="F14" s="569">
        <v>11500000</v>
      </c>
      <c r="G14" s="1585">
        <v>38440452</v>
      </c>
      <c r="H14" s="574">
        <v>3015825032.3000002</v>
      </c>
      <c r="I14" s="570"/>
      <c r="J14" s="570"/>
      <c r="K14" s="94"/>
      <c r="L14" s="94"/>
      <c r="O14" s="40"/>
      <c r="P14" s="40"/>
      <c r="Q14" s="40"/>
      <c r="R14" s="40"/>
      <c r="S14" s="40"/>
      <c r="T14" s="40"/>
      <c r="U14" s="40"/>
      <c r="V14" s="40"/>
      <c r="W14" s="40"/>
      <c r="X14" s="40"/>
    </row>
    <row r="15" spans="1:24" s="77" customFormat="1">
      <c r="A15" s="573">
        <v>42139</v>
      </c>
      <c r="B15" s="569">
        <f>2655620135.54+143397434.22</f>
        <v>2799017569.7599998</v>
      </c>
      <c r="C15" s="569">
        <v>28285198.5</v>
      </c>
      <c r="D15" s="569">
        <v>136303790.02000001</v>
      </c>
      <c r="E15" s="569">
        <v>19771677.609999999</v>
      </c>
      <c r="F15" s="569">
        <f>24291484-G15</f>
        <v>11478000</v>
      </c>
      <c r="G15" s="569">
        <v>12813484</v>
      </c>
      <c r="H15" s="574">
        <f>+F15+E15+D15+C15+B15+G15</f>
        <v>3007669719.8899999</v>
      </c>
      <c r="I15" s="570"/>
      <c r="J15" s="570"/>
      <c r="K15" s="94"/>
      <c r="L15" s="94"/>
      <c r="O15" s="40"/>
      <c r="P15" s="40"/>
      <c r="Q15" s="40"/>
      <c r="R15" s="40"/>
      <c r="S15" s="40"/>
      <c r="T15" s="40"/>
      <c r="U15" s="40"/>
      <c r="V15" s="40"/>
      <c r="W15" s="40"/>
      <c r="X15" s="40"/>
    </row>
    <row r="16" spans="1:24" s="77" customFormat="1">
      <c r="A16" s="573">
        <v>42170</v>
      </c>
      <c r="B16" s="569">
        <v>2808485248.3299999</v>
      </c>
      <c r="C16" s="569">
        <v>28281892.5</v>
      </c>
      <c r="D16" s="569">
        <v>145785015.66</v>
      </c>
      <c r="E16" s="569">
        <v>20180806.620000001</v>
      </c>
      <c r="F16" s="569">
        <v>11180000</v>
      </c>
      <c r="G16" s="569">
        <v>12813484</v>
      </c>
      <c r="H16" s="574">
        <f>+F16+E16+D16+C16+B16+G16</f>
        <v>3026726447.1100001</v>
      </c>
      <c r="I16" s="570"/>
      <c r="J16" s="570"/>
      <c r="K16" s="94"/>
      <c r="L16" s="94"/>
      <c r="O16" s="40"/>
      <c r="P16" s="40"/>
      <c r="Q16" s="40"/>
      <c r="R16" s="40"/>
      <c r="S16" s="40"/>
      <c r="T16" s="40"/>
      <c r="U16" s="40"/>
      <c r="V16" s="40"/>
      <c r="W16" s="40"/>
      <c r="X16" s="40"/>
    </row>
    <row r="17" spans="1:24">
      <c r="A17" s="1061" t="s">
        <v>143</v>
      </c>
      <c r="B17" s="865">
        <f t="shared" ref="B17:H17" si="1">SUM(B4:B16)</f>
        <v>35162153964.829994</v>
      </c>
      <c r="C17" s="572">
        <f t="shared" si="1"/>
        <v>343371082.5</v>
      </c>
      <c r="D17" s="572">
        <f t="shared" si="1"/>
        <v>1749756621.46</v>
      </c>
      <c r="E17" s="572">
        <f t="shared" si="1"/>
        <v>246243125.58999997</v>
      </c>
      <c r="F17" s="572">
        <f t="shared" si="1"/>
        <v>178796000</v>
      </c>
      <c r="G17" s="572">
        <f t="shared" si="1"/>
        <v>64067420</v>
      </c>
      <c r="H17" s="1119">
        <f t="shared" si="1"/>
        <v>37744388214.380005</v>
      </c>
      <c r="I17" s="570"/>
      <c r="J17" s="570"/>
      <c r="K17" s="22"/>
      <c r="L17" s="22"/>
      <c r="N17"/>
      <c r="O17" s="40"/>
      <c r="P17" s="40"/>
      <c r="Q17" s="40"/>
      <c r="R17" s="40"/>
      <c r="S17" s="40"/>
      <c r="T17" s="40"/>
      <c r="X17" s="40"/>
    </row>
    <row r="18" spans="1:24" s="22" customFormat="1" ht="26.25" customHeight="1">
      <c r="A18" s="1937" t="s">
        <v>770</v>
      </c>
      <c r="B18" s="1938"/>
      <c r="C18" s="1938"/>
      <c r="D18" s="1938"/>
      <c r="E18" s="1938"/>
      <c r="F18" s="1938"/>
      <c r="G18" s="1938"/>
      <c r="H18" s="1938"/>
      <c r="I18" s="1938"/>
      <c r="J18" s="1938"/>
      <c r="K18" s="1938"/>
      <c r="N18" s="80"/>
      <c r="O18" s="80"/>
      <c r="P18" s="80"/>
      <c r="Q18" s="80"/>
      <c r="R18" s="80"/>
      <c r="S18" s="80"/>
      <c r="T18" s="80"/>
      <c r="U18" s="80"/>
      <c r="V18" s="80"/>
      <c r="W18" s="80"/>
    </row>
    <row r="19" spans="1:24" ht="18.75" customHeight="1">
      <c r="A19" s="1938"/>
      <c r="B19" s="1938"/>
      <c r="C19" s="1938"/>
      <c r="D19" s="1938"/>
      <c r="E19" s="1938"/>
      <c r="F19" s="1938"/>
      <c r="G19" s="1938"/>
      <c r="H19" s="1938"/>
      <c r="I19" s="1938"/>
      <c r="J19" s="1938"/>
      <c r="K19" s="1938"/>
      <c r="N19" s="40"/>
      <c r="O19" s="40"/>
      <c r="P19" s="40"/>
      <c r="Q19" s="40"/>
      <c r="R19" s="40"/>
      <c r="S19" s="40"/>
      <c r="T19" s="40"/>
    </row>
    <row r="20" spans="1:24">
      <c r="N20" s="40"/>
      <c r="O20" s="40"/>
      <c r="P20" s="40"/>
      <c r="Q20" s="40"/>
      <c r="R20" s="40"/>
      <c r="S20" s="40"/>
      <c r="T20" s="40"/>
    </row>
    <row r="21" spans="1:24">
      <c r="N21" s="40"/>
      <c r="O21" s="40"/>
      <c r="P21" s="40"/>
      <c r="Q21" s="40"/>
      <c r="R21" s="40"/>
      <c r="S21" s="40"/>
      <c r="T21" s="40"/>
    </row>
    <row r="22" spans="1:24">
      <c r="N22" s="40"/>
      <c r="O22" s="40"/>
      <c r="P22" s="40"/>
      <c r="Q22" s="40"/>
      <c r="R22" s="40"/>
      <c r="S22" s="40"/>
      <c r="T22" s="40"/>
    </row>
    <row r="23" spans="1:24">
      <c r="N23" s="40"/>
      <c r="O23" s="40"/>
      <c r="P23" s="40"/>
      <c r="Q23" s="40"/>
      <c r="R23" s="40"/>
      <c r="S23" s="40"/>
      <c r="T23" s="40"/>
    </row>
    <row r="24" spans="1:24">
      <c r="N24" s="40"/>
      <c r="O24" s="40"/>
      <c r="P24" s="40"/>
      <c r="Q24" s="40"/>
      <c r="R24" s="40"/>
      <c r="S24" s="40"/>
      <c r="T24" s="40"/>
    </row>
    <row r="25" spans="1:24">
      <c r="N25" s="40"/>
      <c r="O25" s="40"/>
      <c r="P25" s="40"/>
      <c r="Q25" s="40"/>
      <c r="R25" s="40"/>
      <c r="S25" s="40"/>
      <c r="T25" s="40"/>
    </row>
    <row r="26" spans="1:24">
      <c r="N26" s="40"/>
      <c r="O26" s="40"/>
      <c r="P26" s="40"/>
      <c r="Q26" s="40"/>
      <c r="R26" s="40"/>
      <c r="S26" s="40"/>
      <c r="T26" s="40"/>
    </row>
    <row r="27" spans="1:24">
      <c r="N27" s="40"/>
      <c r="O27" s="40"/>
      <c r="P27" s="40"/>
      <c r="Q27" s="40"/>
      <c r="R27" s="40"/>
      <c r="S27" s="40"/>
      <c r="T27" s="40"/>
    </row>
    <row r="28" spans="1:24">
      <c r="N28" s="40"/>
      <c r="O28" s="40"/>
      <c r="P28" s="40"/>
      <c r="Q28" s="40"/>
      <c r="R28" s="40"/>
      <c r="S28" s="40"/>
      <c r="T28" s="40"/>
    </row>
    <row r="29" spans="1:24">
      <c r="N29" s="40"/>
      <c r="O29" s="40"/>
      <c r="P29" s="40"/>
      <c r="Q29" s="40"/>
      <c r="R29" s="40"/>
      <c r="S29" s="40"/>
      <c r="T29" s="40"/>
    </row>
    <row r="30" spans="1:24">
      <c r="N30" s="40"/>
      <c r="O30" s="40"/>
      <c r="P30" s="40"/>
      <c r="Q30" s="40"/>
      <c r="R30" s="40"/>
      <c r="S30" s="40"/>
      <c r="T30" s="40"/>
    </row>
    <row r="31" spans="1:24">
      <c r="N31" s="40"/>
      <c r="O31" s="40"/>
      <c r="P31" s="40"/>
      <c r="Q31" s="40"/>
      <c r="R31" s="40"/>
      <c r="S31" s="40"/>
      <c r="T31" s="40"/>
    </row>
    <row r="32" spans="1:24">
      <c r="N32" s="40"/>
      <c r="O32" s="40"/>
      <c r="P32" s="40"/>
      <c r="Q32" s="40"/>
      <c r="R32" s="40"/>
      <c r="S32" s="40"/>
      <c r="T32" s="40"/>
    </row>
    <row r="33" spans="14:20">
      <c r="N33" s="40"/>
      <c r="O33" s="40"/>
      <c r="P33" s="40"/>
      <c r="Q33" s="40"/>
      <c r="R33" s="40"/>
      <c r="S33" s="40"/>
      <c r="T33" s="40"/>
    </row>
    <row r="34" spans="14:20">
      <c r="N34" s="40"/>
      <c r="O34" s="40"/>
      <c r="P34" s="40"/>
      <c r="Q34" s="40"/>
      <c r="R34" s="40"/>
      <c r="S34" s="40"/>
      <c r="T34" s="40"/>
    </row>
    <row r="35" spans="14:20">
      <c r="N35" s="40"/>
      <c r="O35" s="40"/>
      <c r="P35" s="40"/>
      <c r="Q35" s="40"/>
      <c r="R35" s="40"/>
      <c r="S35" s="40"/>
      <c r="T35" s="40"/>
    </row>
    <row r="36" spans="14:20">
      <c r="N36" s="40"/>
      <c r="O36" s="40"/>
      <c r="P36" s="40"/>
      <c r="Q36" s="40"/>
      <c r="R36" s="40"/>
      <c r="S36" s="40"/>
      <c r="T36" s="40"/>
    </row>
    <row r="37" spans="14:20">
      <c r="N37" s="40"/>
      <c r="O37" s="40"/>
      <c r="P37" s="40"/>
      <c r="Q37" s="40"/>
      <c r="R37" s="40"/>
      <c r="S37" s="40"/>
      <c r="T37" s="40"/>
    </row>
    <row r="38" spans="14:20">
      <c r="N38" s="40"/>
      <c r="O38" s="40"/>
      <c r="P38" s="40"/>
      <c r="Q38" s="40"/>
      <c r="R38" s="40"/>
      <c r="S38" s="40"/>
      <c r="T38" s="40"/>
    </row>
    <row r="39" spans="14:20">
      <c r="N39" s="40"/>
      <c r="O39" s="40"/>
      <c r="P39" s="40"/>
      <c r="Q39" s="40"/>
      <c r="R39" s="40"/>
      <c r="S39" s="40"/>
      <c r="T39" s="40"/>
    </row>
    <row r="40" spans="14:20">
      <c r="N40" s="40"/>
      <c r="O40" s="40"/>
      <c r="P40" s="40"/>
      <c r="Q40" s="40"/>
      <c r="R40" s="40"/>
      <c r="S40" s="40"/>
      <c r="T40" s="40"/>
    </row>
    <row r="41" spans="14:20">
      <c r="N41" s="40"/>
      <c r="O41" s="40"/>
      <c r="P41" s="40"/>
      <c r="Q41" s="40"/>
      <c r="R41" s="40"/>
      <c r="S41" s="40"/>
      <c r="T41" s="40"/>
    </row>
    <row r="42" spans="14:20">
      <c r="N42" s="40"/>
      <c r="O42" s="40"/>
      <c r="P42" s="40"/>
      <c r="Q42" s="40"/>
      <c r="R42" s="40"/>
      <c r="S42" s="40"/>
      <c r="T42" s="40"/>
    </row>
    <row r="43" spans="14:20">
      <c r="N43" s="40"/>
      <c r="O43" s="40"/>
      <c r="P43" s="40"/>
      <c r="Q43" s="40"/>
      <c r="R43" s="40"/>
      <c r="S43" s="40"/>
      <c r="T43" s="40"/>
    </row>
    <row r="44" spans="14:20">
      <c r="N44" s="40"/>
      <c r="O44" s="40"/>
      <c r="P44" s="40"/>
      <c r="Q44" s="40"/>
      <c r="R44" s="40"/>
      <c r="S44" s="40"/>
      <c r="T44" s="40"/>
    </row>
    <row r="45" spans="14:20">
      <c r="N45" s="40"/>
      <c r="O45" s="40"/>
      <c r="P45" s="40"/>
      <c r="Q45" s="40"/>
      <c r="R45" s="40"/>
      <c r="S45" s="40"/>
      <c r="T45" s="40"/>
    </row>
    <row r="46" spans="14:20">
      <c r="N46" s="40"/>
      <c r="O46" s="40"/>
      <c r="P46" s="40"/>
      <c r="Q46" s="40"/>
      <c r="R46" s="40"/>
      <c r="S46" s="40"/>
      <c r="T46" s="40"/>
    </row>
    <row r="47" spans="14:20" ht="16.5" customHeight="1">
      <c r="N47" s="40"/>
      <c r="O47" s="40"/>
      <c r="P47" s="40"/>
      <c r="Q47" s="40"/>
      <c r="R47" s="40"/>
      <c r="S47" s="40"/>
      <c r="T47" s="40"/>
    </row>
    <row r="48" spans="14:20" hidden="1">
      <c r="N48" s="40"/>
      <c r="O48" s="40"/>
      <c r="P48" s="40"/>
      <c r="Q48" s="40"/>
      <c r="R48" s="40"/>
      <c r="S48" s="40"/>
      <c r="T48" s="40"/>
    </row>
    <row r="49" spans="12:20" hidden="1">
      <c r="N49" s="40"/>
      <c r="O49" s="40"/>
      <c r="P49" s="40"/>
      <c r="Q49" s="40"/>
      <c r="R49" s="40"/>
      <c r="S49" s="40"/>
      <c r="T49" s="40"/>
    </row>
    <row r="50" spans="12:20">
      <c r="N50" s="40"/>
      <c r="O50" s="40"/>
      <c r="P50" s="40"/>
      <c r="Q50" s="40"/>
      <c r="R50" s="40"/>
      <c r="S50" s="40"/>
      <c r="T50" s="40"/>
    </row>
    <row r="51" spans="12:20">
      <c r="L51" s="77" t="s">
        <v>180</v>
      </c>
      <c r="N51" s="40"/>
      <c r="O51" s="40"/>
      <c r="P51" s="40"/>
      <c r="Q51" s="40"/>
      <c r="R51" s="40"/>
      <c r="S51" s="40"/>
      <c r="T51" s="40"/>
    </row>
    <row r="52" spans="12:20">
      <c r="N52" s="40"/>
      <c r="O52" s="40"/>
      <c r="P52" s="40"/>
      <c r="Q52" s="40"/>
      <c r="R52" s="40"/>
      <c r="S52" s="40"/>
      <c r="T52" s="40"/>
    </row>
    <row r="53" spans="12:20">
      <c r="N53" s="40"/>
      <c r="O53" s="40"/>
      <c r="P53" s="40"/>
      <c r="Q53" s="40"/>
      <c r="R53" s="40"/>
      <c r="S53" s="40"/>
      <c r="T53" s="40"/>
    </row>
    <row r="54" spans="12:20">
      <c r="N54" s="40"/>
      <c r="O54" s="40"/>
      <c r="P54" s="40"/>
      <c r="Q54" s="40"/>
      <c r="R54" s="40"/>
      <c r="S54" s="40"/>
      <c r="T54" s="40"/>
    </row>
    <row r="55" spans="12:20">
      <c r="N55" s="40"/>
      <c r="O55" s="40"/>
      <c r="P55" s="40"/>
      <c r="Q55" s="40"/>
      <c r="R55" s="40"/>
      <c r="S55" s="40"/>
      <c r="T55" s="40"/>
    </row>
    <row r="56" spans="12:20">
      <c r="N56" s="40"/>
      <c r="O56" s="40"/>
      <c r="P56" s="40"/>
      <c r="Q56" s="40"/>
      <c r="R56" s="40"/>
      <c r="S56" s="40"/>
      <c r="T56" s="40"/>
    </row>
    <row r="57" spans="12:20">
      <c r="N57" s="40"/>
      <c r="O57" s="40"/>
      <c r="P57" s="40"/>
      <c r="Q57" s="40"/>
      <c r="R57" s="40"/>
      <c r="S57" s="40"/>
      <c r="T57" s="40"/>
    </row>
    <row r="58" spans="12:20">
      <c r="N58" s="40"/>
      <c r="O58" s="40"/>
      <c r="P58" s="40"/>
      <c r="Q58" s="40"/>
      <c r="R58" s="40"/>
      <c r="S58" s="40"/>
      <c r="T58" s="40"/>
    </row>
    <row r="59" spans="12:20">
      <c r="N59" s="40"/>
      <c r="O59" s="40"/>
      <c r="P59" s="40"/>
      <c r="Q59" s="40"/>
      <c r="R59" s="40"/>
      <c r="S59" s="40"/>
      <c r="T59" s="40"/>
    </row>
    <row r="60" spans="12:20">
      <c r="N60" s="40"/>
      <c r="O60" s="40"/>
      <c r="P60" s="40"/>
      <c r="Q60" s="40"/>
      <c r="R60" s="40"/>
      <c r="S60" s="40"/>
      <c r="T60" s="40"/>
    </row>
    <row r="61" spans="12:20">
      <c r="N61" s="40"/>
      <c r="O61" s="40"/>
      <c r="P61" s="40"/>
      <c r="Q61" s="40"/>
      <c r="R61" s="40"/>
      <c r="S61" s="40"/>
      <c r="T61" s="40"/>
    </row>
    <row r="62" spans="12:20">
      <c r="N62" s="40"/>
      <c r="O62" s="40"/>
      <c r="P62" s="40"/>
      <c r="Q62" s="40"/>
      <c r="R62" s="40"/>
      <c r="S62" s="40"/>
      <c r="T62" s="40"/>
    </row>
    <row r="63" spans="12:20">
      <c r="N63" s="40"/>
      <c r="O63" s="40"/>
      <c r="P63" s="40"/>
      <c r="Q63" s="40"/>
      <c r="R63" s="40"/>
      <c r="S63" s="40"/>
      <c r="T63" s="40"/>
    </row>
    <row r="64" spans="12:20">
      <c r="N64" s="40"/>
      <c r="O64" s="40"/>
      <c r="P64" s="40"/>
      <c r="Q64" s="40"/>
      <c r="R64" s="40"/>
      <c r="S64" s="40"/>
      <c r="T64" s="40"/>
    </row>
    <row r="65" spans="14:20">
      <c r="N65" s="40"/>
      <c r="O65" s="40"/>
      <c r="P65" s="40"/>
      <c r="Q65" s="40"/>
      <c r="R65" s="40"/>
      <c r="S65" s="40"/>
      <c r="T65" s="40"/>
    </row>
    <row r="66" spans="14:20">
      <c r="N66" s="40"/>
      <c r="O66" s="40"/>
      <c r="P66" s="40"/>
      <c r="Q66" s="40"/>
      <c r="R66" s="40"/>
      <c r="S66" s="40"/>
      <c r="T66" s="40"/>
    </row>
    <row r="67" spans="14:20">
      <c r="N67" s="40"/>
      <c r="O67" s="40"/>
      <c r="P67" s="40"/>
      <c r="Q67" s="40"/>
      <c r="R67" s="40"/>
      <c r="S67" s="40"/>
      <c r="T67" s="40"/>
    </row>
    <row r="68" spans="14:20">
      <c r="N68" s="40"/>
      <c r="O68" s="40"/>
      <c r="P68" s="40"/>
      <c r="Q68" s="40"/>
      <c r="R68" s="40"/>
      <c r="S68" s="40"/>
      <c r="T68" s="40"/>
    </row>
    <row r="69" spans="14:20">
      <c r="N69" s="40"/>
      <c r="O69" s="40"/>
      <c r="P69" s="40"/>
      <c r="Q69" s="40"/>
      <c r="R69" s="40"/>
      <c r="S69" s="40"/>
      <c r="T69" s="40"/>
    </row>
    <row r="70" spans="14:20">
      <c r="N70" s="40"/>
      <c r="O70" s="40"/>
      <c r="P70" s="40"/>
      <c r="Q70" s="40"/>
      <c r="R70" s="40"/>
      <c r="S70" s="40"/>
      <c r="T70" s="40"/>
    </row>
    <row r="71" spans="14:20">
      <c r="N71" s="40"/>
      <c r="O71" s="40"/>
      <c r="P71" s="40"/>
      <c r="Q71" s="40"/>
      <c r="R71" s="40"/>
      <c r="S71" s="40"/>
      <c r="T71" s="40"/>
    </row>
    <row r="72" spans="14:20">
      <c r="N72" s="40"/>
      <c r="O72" s="40"/>
      <c r="P72" s="40"/>
      <c r="Q72" s="40"/>
      <c r="R72" s="40"/>
      <c r="S72" s="40"/>
      <c r="T72" s="40"/>
    </row>
    <row r="73" spans="14:20">
      <c r="N73" s="40"/>
      <c r="O73" s="40"/>
      <c r="P73" s="40"/>
      <c r="Q73" s="40"/>
      <c r="R73" s="40"/>
      <c r="S73" s="40"/>
      <c r="T73" s="40"/>
    </row>
    <row r="74" spans="14:20">
      <c r="N74" s="40"/>
      <c r="O74" s="40"/>
      <c r="P74" s="40"/>
      <c r="Q74" s="40"/>
      <c r="R74" s="40"/>
      <c r="S74" s="40"/>
      <c r="T74" s="40"/>
    </row>
    <row r="75" spans="14:20">
      <c r="N75" s="40"/>
      <c r="O75" s="40"/>
      <c r="P75" s="40"/>
      <c r="Q75" s="40"/>
      <c r="R75" s="40"/>
      <c r="S75" s="40"/>
      <c r="T75" s="40"/>
    </row>
    <row r="76" spans="14:20">
      <c r="N76" s="40"/>
      <c r="O76" s="40"/>
      <c r="P76" s="40"/>
      <c r="Q76" s="40"/>
      <c r="R76" s="40"/>
      <c r="S76" s="40"/>
      <c r="T76" s="40"/>
    </row>
    <row r="77" spans="14:20">
      <c r="N77" s="40"/>
      <c r="O77" s="40"/>
      <c r="P77" s="40"/>
      <c r="Q77" s="40"/>
      <c r="R77" s="40"/>
      <c r="S77" s="40"/>
      <c r="T77" s="40"/>
    </row>
    <row r="78" spans="14:20">
      <c r="N78" s="40"/>
      <c r="O78" s="40"/>
      <c r="P78" s="40"/>
      <c r="Q78" s="40"/>
      <c r="R78" s="40"/>
      <c r="S78" s="40"/>
      <c r="T78" s="40"/>
    </row>
    <row r="79" spans="14:20">
      <c r="N79" s="40"/>
      <c r="O79" s="40"/>
      <c r="P79" s="40"/>
      <c r="Q79" s="40"/>
      <c r="R79" s="40"/>
      <c r="S79" s="40"/>
      <c r="T79" s="40"/>
    </row>
    <row r="80" spans="14:20">
      <c r="N80" s="40"/>
      <c r="O80" s="40"/>
      <c r="P80" s="40"/>
      <c r="Q80" s="40"/>
      <c r="R80" s="40"/>
      <c r="S80" s="40"/>
      <c r="T80" s="40"/>
    </row>
    <row r="81" spans="14:20">
      <c r="N81" s="40"/>
      <c r="O81" s="40"/>
      <c r="P81" s="40"/>
      <c r="Q81" s="40"/>
      <c r="R81" s="40"/>
      <c r="S81" s="40"/>
      <c r="T81" s="40"/>
    </row>
    <row r="82" spans="14:20">
      <c r="N82" s="40"/>
      <c r="O82" s="40"/>
      <c r="P82" s="40"/>
      <c r="Q82" s="40"/>
      <c r="R82" s="40"/>
      <c r="S82" s="40"/>
      <c r="T82" s="40"/>
    </row>
    <row r="83" spans="14:20">
      <c r="N83" s="40"/>
      <c r="O83" s="40"/>
      <c r="P83" s="40"/>
      <c r="Q83" s="40"/>
      <c r="R83" s="40"/>
      <c r="S83" s="40"/>
      <c r="T83" s="40"/>
    </row>
    <row r="84" spans="14:20">
      <c r="N84" s="40"/>
      <c r="O84" s="40"/>
      <c r="P84" s="40"/>
      <c r="Q84" s="40"/>
      <c r="R84" s="40"/>
      <c r="S84" s="40"/>
      <c r="T84" s="40"/>
    </row>
    <row r="85" spans="14:20">
      <c r="N85" s="40"/>
      <c r="O85" s="40"/>
      <c r="P85" s="40"/>
      <c r="Q85" s="40"/>
      <c r="R85" s="40"/>
      <c r="S85" s="40"/>
      <c r="T85" s="40"/>
    </row>
    <row r="86" spans="14:20">
      <c r="N86" s="40"/>
      <c r="O86" s="40"/>
      <c r="P86" s="40"/>
      <c r="Q86" s="40"/>
      <c r="R86" s="40"/>
      <c r="S86" s="40"/>
      <c r="T86" s="40"/>
    </row>
    <row r="87" spans="14:20">
      <c r="N87" s="40"/>
      <c r="O87" s="40"/>
      <c r="P87" s="40"/>
      <c r="Q87" s="40"/>
      <c r="R87" s="40"/>
      <c r="S87" s="40"/>
      <c r="T87" s="40"/>
    </row>
    <row r="88" spans="14:20">
      <c r="N88" s="40"/>
      <c r="O88" s="40"/>
      <c r="P88" s="40"/>
      <c r="Q88" s="40"/>
      <c r="R88" s="40"/>
      <c r="S88" s="40"/>
      <c r="T88" s="40"/>
    </row>
    <row r="89" spans="14:20">
      <c r="N89" s="40"/>
      <c r="O89" s="40"/>
      <c r="P89" s="40"/>
      <c r="Q89" s="40"/>
      <c r="R89" s="40"/>
      <c r="S89" s="40"/>
      <c r="T89" s="40"/>
    </row>
    <row r="90" spans="14:20">
      <c r="N90" s="40"/>
      <c r="O90" s="40"/>
      <c r="P90" s="40"/>
      <c r="Q90" s="40"/>
      <c r="R90" s="40"/>
      <c r="S90" s="40"/>
      <c r="T90" s="40"/>
    </row>
    <row r="91" spans="14:20">
      <c r="N91" s="40"/>
      <c r="O91" s="40"/>
      <c r="P91" s="40"/>
      <c r="Q91" s="40"/>
      <c r="R91" s="40"/>
      <c r="S91" s="40"/>
      <c r="T91" s="40"/>
    </row>
    <row r="92" spans="14:20">
      <c r="N92" s="40"/>
      <c r="O92" s="40"/>
      <c r="P92" s="40"/>
      <c r="Q92" s="40"/>
      <c r="R92" s="40"/>
      <c r="S92" s="40"/>
      <c r="T92" s="40"/>
    </row>
    <row r="93" spans="14:20">
      <c r="N93" s="40"/>
      <c r="O93" s="40"/>
      <c r="P93" s="40"/>
      <c r="Q93" s="40"/>
      <c r="R93" s="40"/>
      <c r="S93" s="40"/>
      <c r="T93" s="40"/>
    </row>
    <row r="94" spans="14:20">
      <c r="N94" s="40"/>
      <c r="O94" s="40"/>
      <c r="P94" s="40"/>
      <c r="Q94" s="40"/>
      <c r="R94" s="40"/>
      <c r="S94" s="40"/>
      <c r="T94" s="40"/>
    </row>
    <row r="95" spans="14:20">
      <c r="N95" s="40"/>
      <c r="O95" s="40"/>
      <c r="P95" s="40"/>
      <c r="Q95" s="40"/>
      <c r="R95" s="40"/>
      <c r="S95" s="40"/>
      <c r="T95" s="40"/>
    </row>
    <row r="96" spans="14:20">
      <c r="N96" s="40"/>
      <c r="O96" s="40"/>
      <c r="P96" s="40"/>
      <c r="Q96" s="40"/>
      <c r="R96" s="40"/>
      <c r="S96" s="40"/>
      <c r="T96" s="40"/>
    </row>
    <row r="97" spans="14:20">
      <c r="N97" s="40"/>
      <c r="O97" s="40"/>
      <c r="P97" s="40"/>
      <c r="Q97" s="40"/>
      <c r="R97" s="40"/>
      <c r="S97" s="40"/>
      <c r="T97" s="40"/>
    </row>
    <row r="98" spans="14:20">
      <c r="N98" s="40"/>
      <c r="O98" s="40"/>
      <c r="P98" s="40"/>
      <c r="Q98" s="40"/>
      <c r="R98" s="40"/>
      <c r="S98" s="40"/>
      <c r="T98" s="40"/>
    </row>
    <row r="99" spans="14:20">
      <c r="N99" s="40"/>
      <c r="O99" s="40"/>
      <c r="P99" s="40"/>
      <c r="Q99" s="40"/>
      <c r="R99" s="40"/>
      <c r="S99" s="40"/>
      <c r="T99" s="40"/>
    </row>
    <row r="100" spans="14:20">
      <c r="N100" s="40"/>
      <c r="O100" s="40"/>
      <c r="P100" s="40"/>
      <c r="Q100" s="40"/>
      <c r="R100" s="40"/>
      <c r="S100" s="40"/>
      <c r="T100" s="40"/>
    </row>
    <row r="101" spans="14:20">
      <c r="N101" s="40"/>
      <c r="O101" s="40"/>
      <c r="P101" s="40"/>
      <c r="Q101" s="40"/>
      <c r="R101" s="40"/>
      <c r="S101" s="40"/>
      <c r="T101" s="40"/>
    </row>
    <row r="102" spans="14:20">
      <c r="N102" s="40"/>
      <c r="O102" s="40"/>
      <c r="P102" s="40"/>
      <c r="Q102" s="40"/>
      <c r="R102" s="40"/>
      <c r="S102" s="40"/>
      <c r="T102" s="40"/>
    </row>
    <row r="103" spans="14:20">
      <c r="N103" s="40"/>
      <c r="O103" s="40"/>
      <c r="P103" s="40"/>
      <c r="Q103" s="40"/>
      <c r="R103" s="40"/>
      <c r="S103" s="40"/>
      <c r="T103" s="40"/>
    </row>
    <row r="104" spans="14:20">
      <c r="N104" s="40"/>
      <c r="O104" s="40"/>
      <c r="P104" s="40"/>
      <c r="Q104" s="40"/>
      <c r="R104" s="40"/>
      <c r="S104" s="40"/>
      <c r="T104" s="40"/>
    </row>
    <row r="105" spans="14:20">
      <c r="N105" s="40"/>
      <c r="O105" s="40"/>
      <c r="P105" s="40"/>
      <c r="Q105" s="40"/>
      <c r="R105" s="40"/>
      <c r="S105" s="40"/>
      <c r="T105" s="40"/>
    </row>
    <row r="106" spans="14:20">
      <c r="N106" s="40"/>
      <c r="O106" s="40"/>
      <c r="P106" s="40"/>
      <c r="Q106" s="40"/>
      <c r="R106" s="40"/>
      <c r="S106" s="40"/>
      <c r="T106" s="40"/>
    </row>
    <row r="107" spans="14:20">
      <c r="N107" s="40"/>
      <c r="O107" s="40"/>
      <c r="P107" s="40"/>
      <c r="Q107" s="40"/>
      <c r="R107" s="40"/>
      <c r="S107" s="40"/>
      <c r="T107" s="40"/>
    </row>
    <row r="108" spans="14:20">
      <c r="N108" s="40"/>
      <c r="O108" s="40"/>
      <c r="P108" s="40"/>
      <c r="Q108" s="40"/>
      <c r="R108" s="40"/>
      <c r="S108" s="40"/>
      <c r="T108" s="40"/>
    </row>
    <row r="109" spans="14:20">
      <c r="N109" s="40"/>
      <c r="O109" s="40"/>
      <c r="P109" s="40"/>
      <c r="Q109" s="40"/>
      <c r="R109" s="40"/>
      <c r="S109" s="40"/>
      <c r="T109" s="40"/>
    </row>
    <row r="110" spans="14:20">
      <c r="N110" s="40"/>
      <c r="O110" s="40"/>
      <c r="P110" s="40"/>
      <c r="Q110" s="40"/>
      <c r="R110" s="40"/>
      <c r="S110" s="40"/>
      <c r="T110" s="40"/>
    </row>
    <row r="111" spans="14:20">
      <c r="N111" s="40"/>
      <c r="O111" s="40"/>
      <c r="P111" s="40"/>
      <c r="Q111" s="40"/>
      <c r="R111" s="40"/>
      <c r="S111" s="40"/>
      <c r="T111" s="40"/>
    </row>
    <row r="112" spans="14:20">
      <c r="N112" s="40"/>
      <c r="O112" s="40"/>
      <c r="P112" s="40"/>
      <c r="Q112" s="40"/>
      <c r="R112" s="40"/>
      <c r="S112" s="40"/>
      <c r="T112" s="40"/>
    </row>
    <row r="113" spans="14:20">
      <c r="N113" s="40"/>
      <c r="O113" s="40"/>
      <c r="P113" s="40"/>
      <c r="Q113" s="40"/>
      <c r="R113" s="40"/>
      <c r="S113" s="40"/>
      <c r="T113" s="40"/>
    </row>
    <row r="114" spans="14:20">
      <c r="N114" s="40"/>
      <c r="O114" s="40"/>
      <c r="P114" s="40"/>
      <c r="Q114" s="40"/>
      <c r="R114" s="40"/>
      <c r="S114" s="40"/>
      <c r="T114" s="40"/>
    </row>
    <row r="115" spans="14:20">
      <c r="N115" s="40"/>
      <c r="O115" s="40"/>
      <c r="P115" s="40"/>
      <c r="Q115" s="40"/>
      <c r="R115" s="40"/>
      <c r="S115" s="40"/>
      <c r="T115" s="40"/>
    </row>
    <row r="116" spans="14:20">
      <c r="N116" s="40"/>
      <c r="O116" s="40"/>
      <c r="P116" s="40"/>
      <c r="Q116" s="40"/>
      <c r="R116" s="40"/>
      <c r="S116" s="40"/>
      <c r="T116" s="40"/>
    </row>
    <row r="117" spans="14:20">
      <c r="N117" s="40"/>
      <c r="O117" s="40"/>
      <c r="P117" s="40"/>
      <c r="Q117" s="40"/>
      <c r="R117" s="40"/>
      <c r="S117" s="40"/>
      <c r="T117" s="40"/>
    </row>
    <row r="118" spans="14:20">
      <c r="N118" s="40"/>
      <c r="O118" s="40"/>
      <c r="P118" s="40"/>
      <c r="Q118" s="40"/>
      <c r="R118" s="40"/>
      <c r="S118" s="40"/>
      <c r="T118" s="40"/>
    </row>
    <row r="119" spans="14:20">
      <c r="N119" s="40"/>
      <c r="O119" s="40"/>
      <c r="P119" s="40"/>
      <c r="Q119" s="40"/>
      <c r="R119" s="40"/>
      <c r="S119" s="40"/>
      <c r="T119" s="40"/>
    </row>
    <row r="120" spans="14:20">
      <c r="N120" s="40"/>
      <c r="O120" s="40"/>
      <c r="P120" s="40"/>
      <c r="Q120" s="40"/>
      <c r="R120" s="40"/>
      <c r="S120" s="40"/>
      <c r="T120" s="40"/>
    </row>
    <row r="121" spans="14:20">
      <c r="N121" s="40"/>
      <c r="O121" s="40"/>
      <c r="P121" s="40"/>
      <c r="Q121" s="40"/>
      <c r="R121" s="40"/>
      <c r="S121" s="40"/>
      <c r="T121" s="40"/>
    </row>
    <row r="122" spans="14:20">
      <c r="N122" s="40"/>
      <c r="O122" s="40"/>
      <c r="P122" s="40"/>
      <c r="Q122" s="40"/>
      <c r="R122" s="40"/>
      <c r="S122" s="40"/>
      <c r="T122" s="40"/>
    </row>
    <row r="123" spans="14:20">
      <c r="N123" s="40"/>
      <c r="O123" s="40"/>
      <c r="P123" s="40"/>
      <c r="Q123" s="40"/>
      <c r="R123" s="40"/>
      <c r="S123" s="40"/>
      <c r="T123" s="40"/>
    </row>
    <row r="124" spans="14:20">
      <c r="N124" s="40"/>
      <c r="O124" s="40"/>
      <c r="P124" s="40"/>
      <c r="Q124" s="40"/>
      <c r="R124" s="40"/>
      <c r="S124" s="40"/>
      <c r="T124" s="40"/>
    </row>
    <row r="125" spans="14:20">
      <c r="N125" s="40"/>
      <c r="O125" s="40"/>
      <c r="P125" s="40"/>
      <c r="Q125" s="40"/>
      <c r="R125" s="40"/>
      <c r="S125" s="40"/>
      <c r="T125" s="40"/>
    </row>
    <row r="126" spans="14:20">
      <c r="N126" s="40"/>
      <c r="O126" s="40"/>
      <c r="P126" s="40"/>
      <c r="Q126" s="40"/>
      <c r="R126" s="40"/>
      <c r="S126" s="40"/>
      <c r="T126" s="40"/>
    </row>
    <row r="127" spans="14:20">
      <c r="N127" s="40"/>
      <c r="O127" s="40"/>
      <c r="P127" s="40"/>
      <c r="Q127" s="40"/>
      <c r="R127" s="40"/>
      <c r="S127" s="40"/>
      <c r="T127" s="40"/>
    </row>
    <row r="128" spans="14:20">
      <c r="N128" s="40"/>
      <c r="O128" s="40"/>
      <c r="P128" s="40"/>
      <c r="Q128" s="40"/>
      <c r="R128" s="40"/>
      <c r="S128" s="40"/>
      <c r="T128" s="40"/>
    </row>
    <row r="129" spans="14:20">
      <c r="N129" s="40"/>
      <c r="O129" s="40"/>
      <c r="P129" s="40"/>
      <c r="Q129" s="40"/>
      <c r="R129" s="40"/>
      <c r="S129" s="40"/>
      <c r="T129" s="40"/>
    </row>
    <row r="130" spans="14:20">
      <c r="N130" s="40"/>
      <c r="O130" s="40"/>
      <c r="P130" s="40"/>
      <c r="Q130" s="40"/>
      <c r="R130" s="40"/>
      <c r="S130" s="40"/>
      <c r="T130" s="40"/>
    </row>
    <row r="131" spans="14:20">
      <c r="N131" s="40"/>
      <c r="O131" s="40"/>
      <c r="P131" s="40"/>
      <c r="Q131" s="40"/>
      <c r="R131" s="40"/>
      <c r="S131" s="40"/>
      <c r="T131" s="40"/>
    </row>
    <row r="132" spans="14:20">
      <c r="N132" s="40"/>
      <c r="O132" s="40"/>
      <c r="P132" s="40"/>
      <c r="Q132" s="40"/>
      <c r="R132" s="40"/>
      <c r="S132" s="40"/>
      <c r="T132" s="40"/>
    </row>
    <row r="133" spans="14:20">
      <c r="N133" s="40"/>
      <c r="O133" s="40"/>
      <c r="P133" s="40"/>
      <c r="Q133" s="40"/>
      <c r="R133" s="40"/>
      <c r="S133" s="40"/>
      <c r="T133" s="40"/>
    </row>
    <row r="134" spans="14:20">
      <c r="N134" s="40"/>
      <c r="O134" s="40"/>
      <c r="P134" s="40"/>
      <c r="Q134" s="40"/>
      <c r="R134" s="40"/>
      <c r="S134" s="40"/>
      <c r="T134" s="40"/>
    </row>
    <row r="135" spans="14:20">
      <c r="N135" s="40"/>
      <c r="O135" s="40"/>
      <c r="P135" s="40"/>
      <c r="Q135" s="40"/>
      <c r="R135" s="40"/>
      <c r="S135" s="40"/>
      <c r="T135" s="40"/>
    </row>
    <row r="136" spans="14:20">
      <c r="N136" s="40"/>
      <c r="O136" s="40"/>
      <c r="P136" s="40"/>
      <c r="Q136" s="40"/>
      <c r="R136" s="40"/>
      <c r="S136" s="40"/>
      <c r="T136" s="40"/>
    </row>
    <row r="137" spans="14:20">
      <c r="N137" s="40"/>
      <c r="O137" s="40"/>
      <c r="P137" s="40"/>
      <c r="Q137" s="40"/>
      <c r="R137" s="40"/>
      <c r="S137" s="40"/>
      <c r="T137" s="40"/>
    </row>
    <row r="138" spans="14:20">
      <c r="N138" s="40"/>
      <c r="O138" s="40"/>
      <c r="P138" s="40"/>
      <c r="Q138" s="40"/>
      <c r="R138" s="40"/>
      <c r="S138" s="40"/>
      <c r="T138" s="40"/>
    </row>
    <row r="139" spans="14:20">
      <c r="N139" s="40"/>
      <c r="O139" s="40"/>
      <c r="P139" s="40"/>
      <c r="Q139" s="40"/>
      <c r="R139" s="40"/>
      <c r="S139" s="40"/>
      <c r="T139" s="40"/>
    </row>
    <row r="140" spans="14:20">
      <c r="N140" s="40"/>
      <c r="O140" s="40"/>
      <c r="P140" s="40"/>
      <c r="Q140" s="40"/>
      <c r="R140" s="40"/>
      <c r="S140" s="40"/>
      <c r="T140" s="40"/>
    </row>
    <row r="141" spans="14:20">
      <c r="N141" s="40"/>
      <c r="O141" s="40"/>
      <c r="P141" s="40"/>
      <c r="Q141" s="40"/>
      <c r="R141" s="40"/>
      <c r="S141" s="40"/>
      <c r="T141" s="40"/>
    </row>
    <row r="142" spans="14:20">
      <c r="N142" s="40"/>
      <c r="O142" s="40"/>
      <c r="P142" s="40"/>
      <c r="Q142" s="40"/>
      <c r="R142" s="40"/>
      <c r="S142" s="40"/>
      <c r="T142" s="40"/>
    </row>
    <row r="143" spans="14:20">
      <c r="N143" s="40"/>
      <c r="O143" s="40"/>
      <c r="P143" s="40"/>
      <c r="Q143" s="40"/>
      <c r="R143" s="40"/>
      <c r="S143" s="40"/>
      <c r="T143" s="40"/>
    </row>
    <row r="144" spans="14:20">
      <c r="N144" s="40"/>
      <c r="O144" s="40"/>
      <c r="P144" s="40"/>
      <c r="Q144" s="40"/>
      <c r="R144" s="40"/>
      <c r="S144" s="40"/>
      <c r="T144" s="40"/>
    </row>
    <row r="145" spans="14:20">
      <c r="N145" s="40"/>
      <c r="O145" s="40"/>
      <c r="P145" s="40"/>
      <c r="Q145" s="40"/>
      <c r="R145" s="40"/>
      <c r="S145" s="40"/>
      <c r="T145" s="40"/>
    </row>
    <row r="146" spans="14:20">
      <c r="N146" s="40"/>
      <c r="O146" s="40"/>
      <c r="P146" s="40"/>
      <c r="Q146" s="40"/>
      <c r="R146" s="40"/>
      <c r="S146" s="40"/>
      <c r="T146" s="40"/>
    </row>
    <row r="147" spans="14:20">
      <c r="N147" s="40"/>
      <c r="O147" s="40"/>
      <c r="P147" s="40"/>
      <c r="Q147" s="40"/>
      <c r="R147" s="40"/>
      <c r="S147" s="40"/>
      <c r="T147" s="40"/>
    </row>
    <row r="148" spans="14:20">
      <c r="N148" s="40"/>
      <c r="O148" s="40"/>
      <c r="P148" s="40"/>
      <c r="Q148" s="40"/>
      <c r="R148" s="40"/>
      <c r="S148" s="40"/>
      <c r="T148" s="40"/>
    </row>
    <row r="149" spans="14:20">
      <c r="N149" s="40"/>
      <c r="O149" s="40"/>
      <c r="P149" s="40"/>
      <c r="Q149" s="40"/>
      <c r="R149" s="40"/>
      <c r="S149" s="40"/>
      <c r="T149" s="40"/>
    </row>
    <row r="150" spans="14:20">
      <c r="N150" s="40"/>
      <c r="O150" s="40"/>
      <c r="P150" s="40"/>
      <c r="Q150" s="40"/>
      <c r="R150" s="40"/>
      <c r="S150" s="40"/>
      <c r="T150" s="40"/>
    </row>
    <row r="151" spans="14:20">
      <c r="N151" s="40"/>
      <c r="O151" s="40"/>
      <c r="P151" s="40"/>
      <c r="Q151" s="40"/>
      <c r="R151" s="40"/>
      <c r="S151" s="40"/>
      <c r="T151" s="40"/>
    </row>
    <row r="152" spans="14:20">
      <c r="N152" s="40"/>
      <c r="O152" s="40"/>
      <c r="P152" s="40"/>
      <c r="Q152" s="40"/>
      <c r="R152" s="40"/>
      <c r="S152" s="40"/>
      <c r="T152" s="40"/>
    </row>
    <row r="153" spans="14:20">
      <c r="N153" s="40"/>
      <c r="O153" s="40"/>
      <c r="P153" s="40"/>
      <c r="Q153" s="40"/>
      <c r="R153" s="40"/>
      <c r="S153" s="40"/>
      <c r="T153" s="40"/>
    </row>
    <row r="154" spans="14:20">
      <c r="N154" s="40"/>
      <c r="O154" s="40"/>
      <c r="P154" s="40"/>
      <c r="Q154" s="40"/>
      <c r="R154" s="40"/>
      <c r="S154" s="40"/>
      <c r="T154" s="40"/>
    </row>
    <row r="155" spans="14:20">
      <c r="N155" s="40"/>
      <c r="O155" s="40"/>
      <c r="P155" s="40"/>
      <c r="Q155" s="40"/>
      <c r="R155" s="40"/>
      <c r="S155" s="40"/>
      <c r="T155" s="40"/>
    </row>
    <row r="156" spans="14:20">
      <c r="N156" s="40"/>
      <c r="O156" s="40"/>
      <c r="P156" s="40"/>
      <c r="Q156" s="40"/>
      <c r="R156" s="40"/>
      <c r="S156" s="40"/>
      <c r="T156" s="40"/>
    </row>
    <row r="157" spans="14:20">
      <c r="N157" s="40"/>
      <c r="O157" s="40"/>
      <c r="P157" s="40"/>
      <c r="Q157" s="40"/>
      <c r="R157" s="40"/>
      <c r="S157" s="40"/>
      <c r="T157" s="40"/>
    </row>
    <row r="158" spans="14:20">
      <c r="N158" s="40"/>
      <c r="O158" s="40"/>
      <c r="P158" s="40"/>
      <c r="Q158" s="40"/>
      <c r="R158" s="40"/>
      <c r="S158" s="40"/>
      <c r="T158" s="40"/>
    </row>
    <row r="159" spans="14:20">
      <c r="N159" s="40"/>
      <c r="O159" s="40"/>
      <c r="P159" s="40"/>
      <c r="Q159" s="40"/>
      <c r="R159" s="40"/>
      <c r="S159" s="40"/>
      <c r="T159" s="40"/>
    </row>
    <row r="160" spans="14:20">
      <c r="N160" s="40"/>
      <c r="O160" s="40"/>
      <c r="P160" s="40"/>
      <c r="Q160" s="40"/>
      <c r="R160" s="40"/>
      <c r="S160" s="40"/>
      <c r="T160" s="40"/>
    </row>
    <row r="161" spans="14:20">
      <c r="N161" s="40"/>
      <c r="O161" s="40"/>
      <c r="P161" s="40"/>
      <c r="Q161" s="40"/>
      <c r="R161" s="40"/>
      <c r="S161" s="40"/>
      <c r="T161" s="40"/>
    </row>
    <row r="162" spans="14:20">
      <c r="N162" s="40"/>
      <c r="O162" s="40"/>
      <c r="P162" s="40"/>
      <c r="Q162" s="40"/>
      <c r="R162" s="40"/>
      <c r="S162" s="40"/>
      <c r="T162" s="40"/>
    </row>
    <row r="163" spans="14:20">
      <c r="N163" s="40"/>
      <c r="O163" s="40"/>
      <c r="P163" s="40"/>
      <c r="Q163" s="40"/>
      <c r="R163" s="40"/>
      <c r="S163" s="40"/>
      <c r="T163" s="40"/>
    </row>
    <row r="164" spans="14:20">
      <c r="N164" s="40"/>
      <c r="O164" s="40"/>
      <c r="P164" s="40"/>
      <c r="Q164" s="40"/>
      <c r="R164" s="40"/>
      <c r="S164" s="40"/>
      <c r="T164" s="40"/>
    </row>
    <row r="165" spans="14:20">
      <c r="N165" s="40"/>
      <c r="O165" s="40"/>
      <c r="P165" s="40"/>
      <c r="Q165" s="40"/>
      <c r="R165" s="40"/>
      <c r="S165" s="40"/>
      <c r="T165" s="40"/>
    </row>
    <row r="166" spans="14:20">
      <c r="N166" s="40"/>
      <c r="O166" s="40"/>
      <c r="P166" s="40"/>
      <c r="Q166" s="40"/>
      <c r="R166" s="40"/>
      <c r="S166" s="40"/>
      <c r="T166" s="40"/>
    </row>
    <row r="167" spans="14:20">
      <c r="N167" s="40"/>
      <c r="O167" s="40"/>
      <c r="P167" s="40"/>
      <c r="Q167" s="40"/>
      <c r="R167" s="40"/>
      <c r="S167" s="40"/>
      <c r="T167" s="40"/>
    </row>
    <row r="168" spans="14:20">
      <c r="N168" s="40"/>
      <c r="O168" s="40"/>
      <c r="P168" s="40"/>
      <c r="Q168" s="40"/>
      <c r="R168" s="40"/>
      <c r="S168" s="40"/>
      <c r="T168" s="40"/>
    </row>
    <row r="169" spans="14:20">
      <c r="N169" s="40"/>
      <c r="O169" s="40"/>
      <c r="P169" s="40"/>
      <c r="Q169" s="40"/>
      <c r="R169" s="40"/>
      <c r="S169" s="40"/>
      <c r="T169" s="40"/>
    </row>
    <row r="170" spans="14:20">
      <c r="N170" s="40"/>
      <c r="O170" s="40"/>
      <c r="P170" s="40"/>
      <c r="Q170" s="40"/>
      <c r="R170" s="40"/>
      <c r="S170" s="40"/>
      <c r="T170" s="40"/>
    </row>
    <row r="171" spans="14:20">
      <c r="N171" s="40"/>
      <c r="O171" s="40"/>
      <c r="P171" s="40"/>
      <c r="Q171" s="40"/>
      <c r="R171" s="40"/>
      <c r="S171" s="40"/>
      <c r="T171" s="40"/>
    </row>
    <row r="172" spans="14:20">
      <c r="N172" s="40"/>
      <c r="O172" s="40"/>
      <c r="P172" s="40"/>
      <c r="Q172" s="40"/>
      <c r="R172" s="40"/>
      <c r="S172" s="40"/>
      <c r="T172" s="40"/>
    </row>
    <row r="173" spans="14:20">
      <c r="N173" s="40"/>
      <c r="O173" s="40"/>
      <c r="P173" s="40"/>
      <c r="Q173" s="40"/>
      <c r="R173" s="40"/>
      <c r="S173" s="40"/>
      <c r="T173" s="40"/>
    </row>
    <row r="174" spans="14:20">
      <c r="N174" s="40"/>
      <c r="O174" s="40"/>
      <c r="P174" s="40"/>
      <c r="Q174" s="40"/>
      <c r="R174" s="40"/>
      <c r="S174" s="40"/>
      <c r="T174" s="40"/>
    </row>
    <row r="175" spans="14:20">
      <c r="N175" s="40"/>
      <c r="O175" s="40"/>
      <c r="P175" s="40"/>
      <c r="Q175" s="40"/>
      <c r="R175" s="40"/>
      <c r="S175" s="40"/>
      <c r="T175" s="40"/>
    </row>
    <row r="176" spans="14:20">
      <c r="N176" s="40"/>
      <c r="O176" s="40"/>
      <c r="P176" s="40"/>
      <c r="Q176" s="40"/>
      <c r="R176" s="40"/>
      <c r="S176" s="40"/>
      <c r="T176" s="40"/>
    </row>
    <row r="177" spans="14:20">
      <c r="N177" s="40"/>
      <c r="O177" s="40"/>
      <c r="P177" s="40"/>
      <c r="Q177" s="40"/>
      <c r="R177" s="40"/>
      <c r="S177" s="40"/>
      <c r="T177" s="40"/>
    </row>
    <row r="178" spans="14:20">
      <c r="N178" s="40"/>
      <c r="O178" s="40"/>
      <c r="P178" s="40"/>
      <c r="Q178" s="40"/>
      <c r="R178" s="40"/>
      <c r="S178" s="40"/>
      <c r="T178" s="40"/>
    </row>
    <row r="179" spans="14:20">
      <c r="N179" s="40"/>
      <c r="O179" s="40"/>
      <c r="P179" s="40"/>
      <c r="Q179" s="40"/>
      <c r="R179" s="40"/>
      <c r="S179" s="40"/>
      <c r="T179" s="40"/>
    </row>
    <row r="180" spans="14:20">
      <c r="N180" s="40"/>
      <c r="O180" s="40"/>
      <c r="P180" s="40"/>
      <c r="Q180" s="40"/>
      <c r="R180" s="40"/>
      <c r="S180" s="40"/>
      <c r="T180" s="40"/>
    </row>
    <row r="181" spans="14:20">
      <c r="N181" s="40"/>
      <c r="O181" s="40"/>
      <c r="P181" s="40"/>
      <c r="Q181" s="40"/>
      <c r="R181" s="40"/>
      <c r="S181" s="40"/>
      <c r="T181" s="40"/>
    </row>
    <row r="182" spans="14:20">
      <c r="N182" s="40"/>
      <c r="O182" s="40"/>
      <c r="P182" s="40"/>
      <c r="Q182" s="40"/>
      <c r="R182" s="40"/>
      <c r="S182" s="40"/>
      <c r="T182" s="40"/>
    </row>
    <row r="183" spans="14:20">
      <c r="N183" s="40"/>
      <c r="O183" s="40"/>
      <c r="P183" s="40"/>
      <c r="Q183" s="40"/>
      <c r="R183" s="40"/>
      <c r="S183" s="40"/>
      <c r="T183" s="40"/>
    </row>
    <row r="184" spans="14:20">
      <c r="N184" s="40"/>
      <c r="O184" s="40"/>
      <c r="P184" s="40"/>
      <c r="Q184" s="40"/>
      <c r="R184" s="40"/>
      <c r="S184" s="40"/>
      <c r="T184" s="40"/>
    </row>
    <row r="185" spans="14:20">
      <c r="N185" s="40"/>
      <c r="O185" s="40"/>
      <c r="P185" s="40"/>
      <c r="Q185" s="40"/>
      <c r="R185" s="40"/>
      <c r="S185" s="40"/>
      <c r="T185" s="40"/>
    </row>
    <row r="186" spans="14:20">
      <c r="N186" s="40"/>
      <c r="O186" s="40"/>
      <c r="P186" s="40"/>
      <c r="Q186" s="40"/>
      <c r="R186" s="40"/>
      <c r="S186" s="40"/>
      <c r="T186" s="40"/>
    </row>
    <row r="187" spans="14:20">
      <c r="N187" s="40"/>
      <c r="O187" s="40"/>
      <c r="P187" s="40"/>
      <c r="Q187" s="40"/>
      <c r="R187" s="40"/>
      <c r="S187" s="40"/>
      <c r="T187" s="40"/>
    </row>
    <row r="188" spans="14:20">
      <c r="N188" s="40"/>
      <c r="O188" s="40"/>
      <c r="P188" s="40"/>
      <c r="Q188" s="40"/>
      <c r="R188" s="40"/>
      <c r="S188" s="40"/>
      <c r="T188" s="40"/>
    </row>
    <row r="189" spans="14:20">
      <c r="N189" s="40"/>
      <c r="O189" s="40"/>
      <c r="P189" s="40"/>
      <c r="Q189" s="40"/>
      <c r="R189" s="40"/>
      <c r="S189" s="40"/>
      <c r="T189" s="40"/>
    </row>
    <row r="190" spans="14:20">
      <c r="N190" s="40"/>
      <c r="O190" s="40"/>
      <c r="P190" s="40"/>
      <c r="Q190" s="40"/>
      <c r="R190" s="40"/>
      <c r="S190" s="40"/>
      <c r="T190" s="40"/>
    </row>
    <row r="191" spans="14:20">
      <c r="N191" s="40"/>
      <c r="O191" s="40"/>
      <c r="P191" s="40"/>
      <c r="Q191" s="40"/>
      <c r="R191" s="40"/>
      <c r="S191" s="40"/>
      <c r="T191" s="40"/>
    </row>
    <row r="192" spans="14:20">
      <c r="N192" s="40"/>
      <c r="O192" s="40"/>
      <c r="P192" s="40"/>
      <c r="Q192" s="40"/>
      <c r="R192" s="40"/>
      <c r="S192" s="40"/>
      <c r="T192" s="40"/>
    </row>
    <row r="193" spans="14:20">
      <c r="N193" s="40"/>
      <c r="O193" s="40"/>
      <c r="P193" s="40"/>
      <c r="Q193" s="40"/>
      <c r="R193" s="40"/>
      <c r="S193" s="40"/>
      <c r="T193" s="40"/>
    </row>
    <row r="194" spans="14:20">
      <c r="N194" s="40"/>
      <c r="O194" s="40"/>
      <c r="P194" s="40"/>
      <c r="Q194" s="40"/>
      <c r="R194" s="40"/>
      <c r="S194" s="40"/>
      <c r="T194" s="40"/>
    </row>
    <row r="195" spans="14:20">
      <c r="N195" s="40"/>
      <c r="O195" s="40"/>
      <c r="P195" s="40"/>
      <c r="Q195" s="40"/>
      <c r="R195" s="40"/>
      <c r="S195" s="40"/>
      <c r="T195" s="40"/>
    </row>
    <row r="196" spans="14:20">
      <c r="N196" s="40"/>
      <c r="O196" s="40"/>
      <c r="P196" s="40"/>
      <c r="Q196" s="40"/>
      <c r="R196" s="40"/>
      <c r="S196" s="40"/>
      <c r="T196" s="40"/>
    </row>
    <row r="197" spans="14:20">
      <c r="N197" s="40"/>
      <c r="O197" s="40"/>
      <c r="P197" s="40"/>
      <c r="Q197" s="40"/>
      <c r="R197" s="40"/>
      <c r="S197" s="40"/>
      <c r="T197" s="40"/>
    </row>
    <row r="198" spans="14:20">
      <c r="N198" s="40"/>
      <c r="O198" s="40"/>
      <c r="P198" s="40"/>
      <c r="Q198" s="40"/>
      <c r="R198" s="40"/>
      <c r="S198" s="40"/>
      <c r="T198" s="40"/>
    </row>
    <row r="199" spans="14:20">
      <c r="N199" s="40"/>
      <c r="O199" s="40"/>
      <c r="P199" s="40"/>
      <c r="Q199" s="40"/>
      <c r="R199" s="40"/>
      <c r="S199" s="40"/>
      <c r="T199" s="40"/>
    </row>
    <row r="200" spans="14:20">
      <c r="N200" s="40"/>
      <c r="O200" s="40"/>
      <c r="P200" s="40"/>
      <c r="Q200" s="40"/>
      <c r="R200" s="40"/>
      <c r="S200" s="40"/>
      <c r="T200" s="40"/>
    </row>
    <row r="201" spans="14:20">
      <c r="N201" s="40"/>
      <c r="O201" s="40"/>
      <c r="P201" s="40"/>
      <c r="Q201" s="40"/>
      <c r="R201" s="40"/>
      <c r="S201" s="40"/>
      <c r="T201" s="40"/>
    </row>
    <row r="202" spans="14:20">
      <c r="N202" s="40"/>
      <c r="O202" s="40"/>
      <c r="P202" s="40"/>
      <c r="Q202" s="40"/>
      <c r="R202" s="40"/>
      <c r="S202" s="40"/>
      <c r="T202" s="40"/>
    </row>
    <row r="203" spans="14:20">
      <c r="N203" s="40"/>
      <c r="O203" s="40"/>
      <c r="P203" s="40"/>
      <c r="Q203" s="40"/>
      <c r="R203" s="40"/>
      <c r="S203" s="40"/>
      <c r="T203" s="40"/>
    </row>
    <row r="204" spans="14:20">
      <c r="N204" s="40"/>
      <c r="O204" s="40"/>
      <c r="P204" s="40"/>
      <c r="Q204" s="40"/>
      <c r="R204" s="40"/>
      <c r="S204" s="40"/>
      <c r="T204" s="40"/>
    </row>
    <row r="205" spans="14:20">
      <c r="N205" s="40"/>
      <c r="O205" s="40"/>
      <c r="P205" s="40"/>
      <c r="Q205" s="40"/>
      <c r="R205" s="40"/>
      <c r="S205" s="40"/>
      <c r="T205" s="40"/>
    </row>
    <row r="206" spans="14:20">
      <c r="N206" s="40"/>
      <c r="O206" s="40"/>
      <c r="P206" s="40"/>
      <c r="Q206" s="40"/>
      <c r="R206" s="40"/>
      <c r="S206" s="40"/>
      <c r="T206" s="40"/>
    </row>
    <row r="207" spans="14:20">
      <c r="N207" s="40"/>
      <c r="O207" s="40"/>
      <c r="P207" s="40"/>
      <c r="Q207" s="40"/>
      <c r="R207" s="40"/>
      <c r="S207" s="40"/>
      <c r="T207" s="40"/>
    </row>
    <row r="208" spans="14:20">
      <c r="N208" s="40"/>
      <c r="O208" s="40"/>
      <c r="P208" s="40"/>
      <c r="Q208" s="40"/>
      <c r="R208" s="40"/>
      <c r="S208" s="40"/>
      <c r="T208" s="40"/>
    </row>
    <row r="209" spans="14:20">
      <c r="N209" s="40"/>
      <c r="O209" s="40"/>
      <c r="P209" s="40"/>
      <c r="Q209" s="40"/>
      <c r="R209" s="40"/>
      <c r="S209" s="40"/>
      <c r="T209" s="40"/>
    </row>
    <row r="210" spans="14:20">
      <c r="N210" s="40"/>
      <c r="O210" s="40"/>
      <c r="P210" s="40"/>
      <c r="Q210" s="40"/>
      <c r="R210" s="40"/>
      <c r="S210" s="40"/>
      <c r="T210" s="40"/>
    </row>
    <row r="211" spans="14:20">
      <c r="N211" s="40"/>
      <c r="O211" s="40"/>
      <c r="P211" s="40"/>
      <c r="Q211" s="40"/>
      <c r="R211" s="40"/>
      <c r="S211" s="40"/>
      <c r="T211" s="40"/>
    </row>
    <row r="212" spans="14:20">
      <c r="N212" s="40"/>
      <c r="O212" s="40"/>
      <c r="P212" s="40"/>
      <c r="Q212" s="40"/>
      <c r="R212" s="40"/>
      <c r="S212" s="40"/>
      <c r="T212" s="40"/>
    </row>
    <row r="213" spans="14:20">
      <c r="N213" s="40"/>
      <c r="O213" s="40"/>
      <c r="P213" s="40"/>
      <c r="Q213" s="40"/>
      <c r="R213" s="40"/>
      <c r="S213" s="40"/>
      <c r="T213" s="40"/>
    </row>
    <row r="214" spans="14:20">
      <c r="N214" s="40"/>
      <c r="O214" s="40"/>
      <c r="P214" s="40"/>
      <c r="Q214" s="40"/>
      <c r="R214" s="40"/>
      <c r="S214" s="40"/>
      <c r="T214" s="40"/>
    </row>
    <row r="215" spans="14:20">
      <c r="N215" s="40"/>
      <c r="O215" s="40"/>
      <c r="P215" s="40"/>
      <c r="Q215" s="40"/>
      <c r="R215" s="40"/>
      <c r="S215" s="40"/>
      <c r="T215" s="40"/>
    </row>
    <row r="216" spans="14:20">
      <c r="N216" s="40"/>
      <c r="O216" s="40"/>
      <c r="P216" s="40"/>
      <c r="Q216" s="40"/>
      <c r="R216" s="40"/>
      <c r="S216" s="40"/>
      <c r="T216" s="40"/>
    </row>
    <row r="217" spans="14:20">
      <c r="N217" s="40"/>
      <c r="O217" s="40"/>
      <c r="P217" s="40"/>
      <c r="Q217" s="40"/>
      <c r="R217" s="40"/>
      <c r="S217" s="40"/>
      <c r="T217" s="40"/>
    </row>
    <row r="218" spans="14:20">
      <c r="N218" s="40"/>
      <c r="O218" s="40"/>
      <c r="P218" s="40"/>
      <c r="Q218" s="40"/>
      <c r="R218" s="40"/>
      <c r="S218" s="40"/>
      <c r="T218" s="40"/>
    </row>
    <row r="219" spans="14:20">
      <c r="N219" s="40"/>
      <c r="O219" s="40"/>
      <c r="P219" s="40"/>
      <c r="Q219" s="40"/>
      <c r="R219" s="40"/>
      <c r="S219" s="40"/>
      <c r="T219" s="40"/>
    </row>
    <row r="220" spans="14:20">
      <c r="N220" s="40"/>
      <c r="O220" s="40"/>
      <c r="P220" s="40"/>
      <c r="Q220" s="40"/>
      <c r="R220" s="40"/>
      <c r="S220" s="40"/>
      <c r="T220" s="40"/>
    </row>
    <row r="221" spans="14:20">
      <c r="N221" s="40"/>
      <c r="O221" s="40"/>
      <c r="P221" s="40"/>
      <c r="Q221" s="40"/>
      <c r="R221" s="40"/>
      <c r="S221" s="40"/>
      <c r="T221" s="40"/>
    </row>
    <row r="222" spans="14:20">
      <c r="N222" s="40"/>
      <c r="O222" s="40"/>
      <c r="P222" s="40"/>
      <c r="Q222" s="40"/>
      <c r="R222" s="40"/>
      <c r="S222" s="40"/>
      <c r="T222" s="40"/>
    </row>
    <row r="223" spans="14:20">
      <c r="N223" s="40"/>
      <c r="O223" s="40"/>
      <c r="P223" s="40"/>
      <c r="Q223" s="40"/>
      <c r="R223" s="40"/>
      <c r="S223" s="40"/>
      <c r="T223" s="40"/>
    </row>
    <row r="224" spans="14:20">
      <c r="N224" s="40"/>
      <c r="O224" s="40"/>
      <c r="P224" s="40"/>
      <c r="Q224" s="40"/>
      <c r="R224" s="40"/>
      <c r="S224" s="40"/>
      <c r="T224" s="40"/>
    </row>
    <row r="225" spans="14:20">
      <c r="N225" s="40"/>
      <c r="O225" s="40"/>
      <c r="P225" s="40"/>
      <c r="Q225" s="40"/>
      <c r="R225" s="40"/>
      <c r="S225" s="40"/>
      <c r="T225" s="40"/>
    </row>
    <row r="226" spans="14:20">
      <c r="N226" s="40"/>
      <c r="O226" s="40"/>
      <c r="P226" s="40"/>
      <c r="Q226" s="40"/>
      <c r="R226" s="40"/>
      <c r="S226" s="40"/>
      <c r="T226" s="40"/>
    </row>
    <row r="227" spans="14:20">
      <c r="N227" s="40"/>
      <c r="O227" s="40"/>
      <c r="P227" s="40"/>
      <c r="Q227" s="40"/>
      <c r="R227" s="40"/>
      <c r="S227" s="40"/>
      <c r="T227" s="40"/>
    </row>
    <row r="228" spans="14:20">
      <c r="N228" s="40"/>
      <c r="O228" s="40"/>
      <c r="P228" s="40"/>
      <c r="Q228" s="40"/>
      <c r="R228" s="40"/>
      <c r="S228" s="40"/>
      <c r="T228" s="40"/>
    </row>
    <row r="229" spans="14:20">
      <c r="N229" s="40"/>
      <c r="O229" s="40"/>
      <c r="P229" s="40"/>
      <c r="Q229" s="40"/>
      <c r="R229" s="40"/>
      <c r="S229" s="40"/>
      <c r="T229" s="40"/>
    </row>
    <row r="230" spans="14:20">
      <c r="N230" s="40"/>
      <c r="O230" s="40"/>
      <c r="P230" s="40"/>
      <c r="Q230" s="40"/>
      <c r="R230" s="40"/>
      <c r="S230" s="40"/>
      <c r="T230" s="40"/>
    </row>
    <row r="231" spans="14:20">
      <c r="N231" s="40"/>
      <c r="O231" s="40"/>
      <c r="P231" s="40"/>
      <c r="Q231" s="40"/>
      <c r="R231" s="40"/>
      <c r="S231" s="40"/>
      <c r="T231" s="40"/>
    </row>
    <row r="232" spans="14:20">
      <c r="N232" s="40"/>
      <c r="O232" s="40"/>
      <c r="P232" s="40"/>
      <c r="Q232" s="40"/>
      <c r="R232" s="40"/>
      <c r="S232" s="40"/>
      <c r="T232" s="40"/>
    </row>
    <row r="233" spans="14:20">
      <c r="N233" s="40"/>
      <c r="O233" s="40"/>
      <c r="P233" s="40"/>
      <c r="Q233" s="40"/>
      <c r="R233" s="40"/>
      <c r="S233" s="40"/>
      <c r="T233" s="40"/>
    </row>
    <row r="234" spans="14:20">
      <c r="N234" s="40"/>
      <c r="O234" s="40"/>
      <c r="P234" s="40"/>
      <c r="Q234" s="40"/>
      <c r="R234" s="40"/>
      <c r="S234" s="40"/>
      <c r="T234" s="40"/>
    </row>
    <row r="235" spans="14:20">
      <c r="N235" s="40"/>
      <c r="O235" s="40"/>
      <c r="P235" s="40"/>
      <c r="Q235" s="40"/>
      <c r="R235" s="40"/>
      <c r="S235" s="40"/>
      <c r="T235" s="40"/>
    </row>
    <row r="236" spans="14:20">
      <c r="N236" s="40"/>
      <c r="O236" s="40"/>
      <c r="P236" s="40"/>
      <c r="Q236" s="40"/>
      <c r="R236" s="40"/>
      <c r="S236" s="40"/>
      <c r="T236" s="40"/>
    </row>
    <row r="237" spans="14:20">
      <c r="N237" s="40"/>
      <c r="O237" s="40"/>
      <c r="P237" s="40"/>
      <c r="Q237" s="40"/>
      <c r="R237" s="40"/>
      <c r="S237" s="40"/>
      <c r="T237" s="40"/>
    </row>
    <row r="238" spans="14:20">
      <c r="N238" s="40"/>
      <c r="O238" s="40"/>
      <c r="P238" s="40"/>
      <c r="Q238" s="40"/>
      <c r="R238" s="40"/>
      <c r="S238" s="40"/>
      <c r="T238" s="40"/>
    </row>
    <row r="239" spans="14:20">
      <c r="N239" s="40"/>
      <c r="O239" s="40"/>
      <c r="P239" s="40"/>
      <c r="Q239" s="40"/>
      <c r="R239" s="40"/>
      <c r="S239" s="40"/>
      <c r="T239" s="40"/>
    </row>
    <row r="240" spans="14:20">
      <c r="N240" s="40"/>
      <c r="O240" s="40"/>
      <c r="P240" s="40"/>
      <c r="Q240" s="40"/>
      <c r="R240" s="40"/>
      <c r="S240" s="40"/>
      <c r="T240" s="40"/>
    </row>
    <row r="241" spans="14:20">
      <c r="N241" s="40"/>
      <c r="O241" s="40"/>
      <c r="P241" s="40"/>
      <c r="Q241" s="40"/>
      <c r="R241" s="40"/>
      <c r="S241" s="40"/>
      <c r="T241" s="40"/>
    </row>
    <row r="242" spans="14:20">
      <c r="N242" s="40"/>
      <c r="O242" s="40"/>
      <c r="P242" s="40"/>
      <c r="Q242" s="40"/>
      <c r="R242" s="40"/>
      <c r="S242" s="40"/>
      <c r="T242" s="40"/>
    </row>
    <row r="243" spans="14:20">
      <c r="N243" s="40"/>
      <c r="O243" s="40"/>
      <c r="P243" s="40"/>
      <c r="Q243" s="40"/>
      <c r="R243" s="40"/>
      <c r="S243" s="40"/>
      <c r="T243" s="40"/>
    </row>
    <row r="244" spans="14:20">
      <c r="N244" s="40"/>
      <c r="O244" s="40"/>
      <c r="P244" s="40"/>
      <c r="Q244" s="40"/>
      <c r="R244" s="40"/>
      <c r="S244" s="40"/>
      <c r="T244" s="40"/>
    </row>
    <row r="245" spans="14:20">
      <c r="N245" s="40"/>
      <c r="O245" s="40"/>
      <c r="P245" s="40"/>
      <c r="Q245" s="40"/>
      <c r="R245" s="40"/>
      <c r="S245" s="40"/>
      <c r="T245" s="40"/>
    </row>
    <row r="246" spans="14:20">
      <c r="N246" s="40"/>
      <c r="O246" s="40"/>
      <c r="P246" s="40"/>
      <c r="Q246" s="40"/>
      <c r="R246" s="40"/>
      <c r="S246" s="40"/>
      <c r="T246" s="40"/>
    </row>
    <row r="247" spans="14:20">
      <c r="N247" s="40"/>
      <c r="O247" s="40"/>
      <c r="P247" s="40"/>
      <c r="Q247" s="40"/>
      <c r="R247" s="40"/>
      <c r="S247" s="40"/>
      <c r="T247" s="40"/>
    </row>
    <row r="248" spans="14:20">
      <c r="N248" s="40"/>
      <c r="O248" s="40"/>
      <c r="P248" s="40"/>
      <c r="Q248" s="40"/>
      <c r="R248" s="40"/>
      <c r="S248" s="40"/>
      <c r="T248" s="40"/>
    </row>
    <row r="249" spans="14:20">
      <c r="N249" s="40"/>
      <c r="O249" s="40"/>
      <c r="P249" s="40"/>
      <c r="Q249" s="40"/>
      <c r="R249" s="40"/>
      <c r="S249" s="40"/>
      <c r="T249" s="40"/>
    </row>
    <row r="250" spans="14:20">
      <c r="N250" s="40"/>
      <c r="O250" s="40"/>
      <c r="P250" s="40"/>
      <c r="Q250" s="40"/>
      <c r="R250" s="40"/>
      <c r="S250" s="40"/>
      <c r="T250" s="40"/>
    </row>
    <row r="251" spans="14:20">
      <c r="N251" s="40"/>
      <c r="O251" s="40"/>
      <c r="P251" s="40"/>
      <c r="Q251" s="40"/>
      <c r="R251" s="40"/>
      <c r="S251" s="40"/>
      <c r="T251" s="40"/>
    </row>
    <row r="252" spans="14:20">
      <c r="N252" s="40"/>
      <c r="O252" s="40"/>
      <c r="P252" s="40"/>
      <c r="Q252" s="40"/>
      <c r="R252" s="40"/>
      <c r="S252" s="40"/>
      <c r="T252" s="40"/>
    </row>
    <row r="253" spans="14:20">
      <c r="N253" s="40"/>
      <c r="O253" s="40"/>
      <c r="P253" s="40"/>
      <c r="Q253" s="40"/>
      <c r="R253" s="40"/>
      <c r="S253" s="40"/>
      <c r="T253" s="40"/>
    </row>
    <row r="254" spans="14:20">
      <c r="N254" s="40"/>
      <c r="O254" s="40"/>
      <c r="P254" s="40"/>
      <c r="Q254" s="40"/>
      <c r="R254" s="40"/>
      <c r="S254" s="40"/>
      <c r="T254" s="40"/>
    </row>
    <row r="255" spans="14:20">
      <c r="N255" s="40"/>
      <c r="O255" s="40"/>
      <c r="P255" s="40"/>
      <c r="Q255" s="40"/>
      <c r="R255" s="40"/>
      <c r="S255" s="40"/>
      <c r="T255" s="40"/>
    </row>
    <row r="256" spans="14:20">
      <c r="N256" s="40"/>
      <c r="O256" s="40"/>
      <c r="P256" s="40"/>
      <c r="Q256" s="40"/>
      <c r="R256" s="40"/>
      <c r="S256" s="40"/>
      <c r="T256" s="40"/>
    </row>
    <row r="257" spans="14:20">
      <c r="N257" s="40"/>
      <c r="O257" s="40"/>
      <c r="P257" s="40"/>
      <c r="Q257" s="40"/>
      <c r="R257" s="40"/>
      <c r="S257" s="40"/>
      <c r="T257" s="40"/>
    </row>
    <row r="258" spans="14:20">
      <c r="N258" s="40"/>
      <c r="O258" s="40"/>
      <c r="P258" s="40"/>
      <c r="Q258" s="40"/>
      <c r="R258" s="40"/>
      <c r="S258" s="40"/>
      <c r="T258" s="40"/>
    </row>
    <row r="259" spans="14:20">
      <c r="N259" s="40"/>
      <c r="O259" s="40"/>
      <c r="P259" s="40"/>
      <c r="Q259" s="40"/>
      <c r="R259" s="40"/>
      <c r="S259" s="40"/>
      <c r="T259" s="40"/>
    </row>
    <row r="260" spans="14:20">
      <c r="N260" s="40"/>
      <c r="O260" s="40"/>
      <c r="P260" s="40"/>
      <c r="Q260" s="40"/>
      <c r="R260" s="40"/>
      <c r="S260" s="40"/>
      <c r="T260" s="40"/>
    </row>
    <row r="261" spans="14:20">
      <c r="N261" s="40"/>
      <c r="O261" s="40"/>
      <c r="P261" s="40"/>
      <c r="Q261" s="40"/>
      <c r="R261" s="40"/>
      <c r="S261" s="40"/>
      <c r="T261" s="40"/>
    </row>
    <row r="262" spans="14:20">
      <c r="N262" s="40"/>
      <c r="O262" s="40"/>
      <c r="P262" s="40"/>
      <c r="Q262" s="40"/>
      <c r="R262" s="40"/>
      <c r="S262" s="40"/>
      <c r="T262" s="40"/>
    </row>
    <row r="263" spans="14:20">
      <c r="N263" s="40"/>
      <c r="O263" s="40"/>
      <c r="P263" s="40"/>
      <c r="Q263" s="40"/>
      <c r="R263" s="40"/>
      <c r="S263" s="40"/>
      <c r="T263" s="40"/>
    </row>
    <row r="264" spans="14:20">
      <c r="N264" s="40"/>
      <c r="O264" s="40"/>
      <c r="P264" s="40"/>
      <c r="Q264" s="40"/>
      <c r="R264" s="40"/>
      <c r="S264" s="40"/>
      <c r="T264" s="40"/>
    </row>
    <row r="265" spans="14:20">
      <c r="N265" s="40"/>
      <c r="O265" s="40"/>
      <c r="P265" s="40"/>
      <c r="Q265" s="40"/>
      <c r="R265" s="40"/>
      <c r="S265" s="40"/>
      <c r="T265" s="40"/>
    </row>
    <row r="266" spans="14:20">
      <c r="N266" s="40"/>
      <c r="O266" s="40"/>
      <c r="P266" s="40"/>
      <c r="Q266" s="40"/>
      <c r="R266" s="40"/>
      <c r="S266" s="40"/>
      <c r="T266" s="40"/>
    </row>
    <row r="267" spans="14:20">
      <c r="N267" s="40"/>
      <c r="O267" s="40"/>
      <c r="P267" s="40"/>
      <c r="Q267" s="40"/>
      <c r="R267" s="40"/>
      <c r="S267" s="40"/>
      <c r="T267" s="40"/>
    </row>
    <row r="268" spans="14:20">
      <c r="N268" s="40"/>
      <c r="O268" s="40"/>
      <c r="P268" s="40"/>
      <c r="Q268" s="40"/>
      <c r="R268" s="40"/>
      <c r="S268" s="40"/>
      <c r="T268" s="40"/>
    </row>
    <row r="269" spans="14:20">
      <c r="N269" s="40"/>
      <c r="O269" s="40"/>
      <c r="P269" s="40"/>
      <c r="Q269" s="40"/>
      <c r="R269" s="40"/>
      <c r="S269" s="40"/>
      <c r="T269" s="40"/>
    </row>
    <row r="270" spans="14:20">
      <c r="N270" s="40"/>
      <c r="O270" s="40"/>
      <c r="P270" s="40"/>
      <c r="Q270" s="40"/>
      <c r="R270" s="40"/>
      <c r="S270" s="40"/>
      <c r="T270" s="40"/>
    </row>
    <row r="271" spans="14:20">
      <c r="N271" s="40"/>
      <c r="O271" s="40"/>
      <c r="P271" s="40"/>
      <c r="Q271" s="40"/>
      <c r="R271" s="40"/>
      <c r="S271" s="40"/>
      <c r="T271" s="40"/>
    </row>
    <row r="272" spans="14:20">
      <c r="N272" s="40"/>
      <c r="O272" s="40"/>
      <c r="P272" s="40"/>
      <c r="Q272" s="40"/>
      <c r="R272" s="40"/>
      <c r="S272" s="40"/>
      <c r="T272" s="40"/>
    </row>
    <row r="273" spans="14:20">
      <c r="N273" s="40"/>
      <c r="O273" s="40"/>
      <c r="P273" s="40"/>
      <c r="Q273" s="40"/>
      <c r="R273" s="40"/>
      <c r="S273" s="40"/>
      <c r="T273" s="40"/>
    </row>
    <row r="274" spans="14:20">
      <c r="N274" s="40"/>
      <c r="O274" s="40"/>
      <c r="P274" s="40"/>
      <c r="Q274" s="40"/>
      <c r="R274" s="40"/>
      <c r="S274" s="40"/>
      <c r="T274" s="40"/>
    </row>
    <row r="275" spans="14:20">
      <c r="N275" s="40"/>
      <c r="O275" s="40"/>
      <c r="P275" s="40"/>
      <c r="Q275" s="40"/>
      <c r="R275" s="40"/>
      <c r="S275" s="40"/>
      <c r="T275" s="40"/>
    </row>
    <row r="276" spans="14:20">
      <c r="N276" s="40"/>
      <c r="O276" s="40"/>
      <c r="P276" s="40"/>
      <c r="Q276" s="40"/>
      <c r="R276" s="40"/>
      <c r="S276" s="40"/>
      <c r="T276" s="40"/>
    </row>
    <row r="277" spans="14:20">
      <c r="N277" s="40"/>
      <c r="O277" s="40"/>
      <c r="P277" s="40"/>
      <c r="Q277" s="40"/>
      <c r="R277" s="40"/>
      <c r="S277" s="40"/>
      <c r="T277" s="40"/>
    </row>
    <row r="278" spans="14:20">
      <c r="N278" s="40"/>
      <c r="O278" s="40"/>
      <c r="P278" s="40"/>
      <c r="Q278" s="40"/>
      <c r="R278" s="40"/>
      <c r="S278" s="40"/>
      <c r="T278" s="40"/>
    </row>
    <row r="279" spans="14:20">
      <c r="N279" s="40"/>
      <c r="O279" s="40"/>
      <c r="P279" s="40"/>
      <c r="Q279" s="40"/>
      <c r="R279" s="40"/>
      <c r="S279" s="40"/>
      <c r="T279" s="40"/>
    </row>
    <row r="280" spans="14:20">
      <c r="N280" s="40"/>
      <c r="O280" s="40"/>
      <c r="P280" s="40"/>
      <c r="Q280" s="40"/>
      <c r="R280" s="40"/>
      <c r="S280" s="40"/>
      <c r="T280" s="40"/>
    </row>
    <row r="281" spans="14:20">
      <c r="N281" s="40"/>
      <c r="O281" s="40"/>
      <c r="P281" s="40"/>
      <c r="Q281" s="40"/>
      <c r="R281" s="40"/>
      <c r="S281" s="40"/>
      <c r="T281" s="40"/>
    </row>
    <row r="282" spans="14:20">
      <c r="N282" s="40"/>
      <c r="O282" s="40"/>
      <c r="P282" s="40"/>
      <c r="Q282" s="40"/>
      <c r="R282" s="40"/>
      <c r="S282" s="40"/>
      <c r="T282" s="40"/>
    </row>
    <row r="283" spans="14:20">
      <c r="N283" s="40"/>
      <c r="O283" s="40"/>
      <c r="P283" s="40"/>
      <c r="Q283" s="40"/>
      <c r="R283" s="40"/>
      <c r="S283" s="40"/>
      <c r="T283" s="40"/>
    </row>
    <row r="284" spans="14:20">
      <c r="N284" s="40"/>
      <c r="O284" s="40"/>
      <c r="P284" s="40"/>
      <c r="Q284" s="40"/>
      <c r="R284" s="40"/>
      <c r="S284" s="40"/>
      <c r="T284" s="40"/>
    </row>
    <row r="285" spans="14:20">
      <c r="N285" s="40"/>
      <c r="O285" s="40"/>
      <c r="P285" s="40"/>
      <c r="Q285" s="40"/>
      <c r="R285" s="40"/>
      <c r="S285" s="40"/>
      <c r="T285" s="40"/>
    </row>
    <row r="286" spans="14:20">
      <c r="N286" s="40"/>
      <c r="O286" s="40"/>
      <c r="P286" s="40"/>
      <c r="Q286" s="40"/>
      <c r="R286" s="40"/>
      <c r="S286" s="40"/>
      <c r="T286" s="40"/>
    </row>
    <row r="287" spans="14:20">
      <c r="N287" s="40"/>
      <c r="O287" s="40"/>
      <c r="P287" s="40"/>
      <c r="Q287" s="40"/>
      <c r="R287" s="40"/>
      <c r="S287" s="40"/>
      <c r="T287" s="40"/>
    </row>
    <row r="288" spans="14:20">
      <c r="N288" s="40"/>
      <c r="O288" s="40"/>
      <c r="P288" s="40"/>
      <c r="Q288" s="40"/>
      <c r="R288" s="40"/>
      <c r="S288" s="40"/>
      <c r="T288" s="40"/>
    </row>
    <row r="289" spans="14:20">
      <c r="N289" s="40"/>
      <c r="O289" s="40"/>
      <c r="P289" s="40"/>
      <c r="Q289" s="40"/>
      <c r="R289" s="40"/>
      <c r="S289" s="40"/>
      <c r="T289" s="40"/>
    </row>
    <row r="290" spans="14:20">
      <c r="N290" s="40"/>
      <c r="O290" s="40"/>
      <c r="P290" s="40"/>
      <c r="Q290" s="40"/>
      <c r="R290" s="40"/>
      <c r="S290" s="40"/>
      <c r="T290" s="40"/>
    </row>
    <row r="291" spans="14:20">
      <c r="N291" s="40"/>
      <c r="O291" s="40"/>
      <c r="P291" s="40"/>
      <c r="Q291" s="40"/>
      <c r="R291" s="40"/>
      <c r="S291" s="40"/>
      <c r="T291" s="40"/>
    </row>
    <row r="292" spans="14:20">
      <c r="N292" s="40"/>
      <c r="O292" s="40"/>
      <c r="P292" s="40"/>
      <c r="Q292" s="40"/>
      <c r="R292" s="40"/>
      <c r="S292" s="40"/>
      <c r="T292" s="40"/>
    </row>
    <row r="293" spans="14:20">
      <c r="N293" s="40"/>
      <c r="O293" s="40"/>
      <c r="P293" s="40"/>
      <c r="Q293" s="40"/>
      <c r="R293" s="40"/>
      <c r="S293" s="40"/>
      <c r="T293" s="40"/>
    </row>
    <row r="294" spans="14:20">
      <c r="N294" s="40"/>
      <c r="O294" s="40"/>
      <c r="P294" s="40"/>
      <c r="Q294" s="40"/>
      <c r="R294" s="40"/>
      <c r="S294" s="40"/>
      <c r="T294" s="40"/>
    </row>
    <row r="295" spans="14:20">
      <c r="N295" s="40"/>
      <c r="O295" s="40"/>
      <c r="P295" s="40"/>
      <c r="Q295" s="40"/>
      <c r="R295" s="40"/>
      <c r="S295" s="40"/>
      <c r="T295" s="40"/>
    </row>
    <row r="296" spans="14:20">
      <c r="N296" s="40"/>
      <c r="O296" s="40"/>
      <c r="P296" s="40"/>
      <c r="Q296" s="40"/>
      <c r="R296" s="40"/>
      <c r="S296" s="40"/>
      <c r="T296" s="40"/>
    </row>
    <row r="297" spans="14:20">
      <c r="N297" s="40"/>
      <c r="O297" s="40"/>
      <c r="P297" s="40"/>
      <c r="Q297" s="40"/>
      <c r="R297" s="40"/>
      <c r="S297" s="40"/>
      <c r="T297" s="40"/>
    </row>
    <row r="298" spans="14:20">
      <c r="N298" s="40"/>
      <c r="O298" s="40"/>
      <c r="P298" s="40"/>
      <c r="Q298" s="40"/>
      <c r="R298" s="40"/>
      <c r="S298" s="40"/>
      <c r="T298" s="40"/>
    </row>
    <row r="299" spans="14:20">
      <c r="N299" s="40"/>
      <c r="O299" s="40"/>
      <c r="P299" s="40"/>
      <c r="Q299" s="40"/>
      <c r="R299" s="40"/>
      <c r="S299" s="40"/>
      <c r="T299" s="40"/>
    </row>
    <row r="300" spans="14:20">
      <c r="N300" s="40"/>
      <c r="O300" s="40"/>
      <c r="P300" s="40"/>
      <c r="Q300" s="40"/>
      <c r="R300" s="40"/>
      <c r="S300" s="40"/>
      <c r="T300" s="40"/>
    </row>
    <row r="301" spans="14:20">
      <c r="N301" s="40"/>
      <c r="O301" s="40"/>
      <c r="P301" s="40"/>
      <c r="Q301" s="40"/>
      <c r="R301" s="40"/>
      <c r="S301" s="40"/>
      <c r="T301" s="40"/>
    </row>
    <row r="302" spans="14:20">
      <c r="N302" s="40"/>
      <c r="O302" s="40"/>
      <c r="P302" s="40"/>
      <c r="Q302" s="40"/>
      <c r="R302" s="40"/>
      <c r="S302" s="40"/>
      <c r="T302" s="40"/>
    </row>
    <row r="303" spans="14:20">
      <c r="N303" s="40"/>
      <c r="O303" s="40"/>
      <c r="P303" s="40"/>
      <c r="Q303" s="40"/>
      <c r="R303" s="40"/>
      <c r="S303" s="40"/>
      <c r="T303" s="40"/>
    </row>
    <row r="304" spans="14:20">
      <c r="N304" s="40"/>
      <c r="O304" s="40"/>
      <c r="P304" s="40"/>
      <c r="Q304" s="40"/>
      <c r="R304" s="40"/>
      <c r="S304" s="40"/>
      <c r="T304" s="40"/>
    </row>
    <row r="305" spans="14:20">
      <c r="N305" s="40"/>
      <c r="O305" s="40"/>
      <c r="P305" s="40"/>
      <c r="Q305" s="40"/>
      <c r="R305" s="40"/>
      <c r="S305" s="40"/>
      <c r="T305" s="40"/>
    </row>
    <row r="306" spans="14:20">
      <c r="N306" s="40"/>
      <c r="O306" s="40"/>
      <c r="P306" s="40"/>
      <c r="Q306" s="40"/>
      <c r="R306" s="40"/>
      <c r="S306" s="40"/>
      <c r="T306" s="40"/>
    </row>
    <row r="307" spans="14:20">
      <c r="N307" s="40"/>
      <c r="O307" s="40"/>
      <c r="P307" s="40"/>
      <c r="Q307" s="40"/>
      <c r="R307" s="40"/>
      <c r="S307" s="40"/>
      <c r="T307" s="40"/>
    </row>
    <row r="308" spans="14:20">
      <c r="N308" s="40"/>
      <c r="O308" s="40"/>
      <c r="P308" s="40"/>
      <c r="Q308" s="40"/>
      <c r="R308" s="40"/>
      <c r="S308" s="40"/>
      <c r="T308" s="40"/>
    </row>
    <row r="309" spans="14:20">
      <c r="N309" s="40"/>
      <c r="O309" s="40"/>
      <c r="P309" s="40"/>
      <c r="Q309" s="40"/>
      <c r="R309" s="40"/>
      <c r="S309" s="40"/>
      <c r="T309" s="40"/>
    </row>
    <row r="310" spans="14:20">
      <c r="N310" s="40"/>
      <c r="O310" s="40"/>
      <c r="P310" s="40"/>
      <c r="Q310" s="40"/>
      <c r="R310" s="40"/>
      <c r="S310" s="40"/>
      <c r="T310" s="40"/>
    </row>
    <row r="311" spans="14:20">
      <c r="N311" s="40"/>
      <c r="O311" s="40"/>
      <c r="P311" s="40"/>
      <c r="Q311" s="40"/>
      <c r="R311" s="40"/>
      <c r="S311" s="40"/>
      <c r="T311" s="40"/>
    </row>
    <row r="312" spans="14:20">
      <c r="N312" s="40"/>
      <c r="O312" s="40"/>
      <c r="P312" s="40"/>
      <c r="Q312" s="40"/>
      <c r="R312" s="40"/>
      <c r="S312" s="40"/>
      <c r="T312" s="40"/>
    </row>
    <row r="313" spans="14:20">
      <c r="N313" s="40"/>
      <c r="O313" s="40"/>
      <c r="P313" s="40"/>
      <c r="Q313" s="40"/>
      <c r="R313" s="40"/>
      <c r="S313" s="40"/>
      <c r="T313" s="40"/>
    </row>
    <row r="314" spans="14:20">
      <c r="N314" s="40"/>
      <c r="O314" s="40"/>
      <c r="P314" s="40"/>
      <c r="Q314" s="40"/>
      <c r="R314" s="40"/>
      <c r="S314" s="40"/>
      <c r="T314" s="40"/>
    </row>
    <row r="315" spans="14:20">
      <c r="N315" s="40"/>
      <c r="O315" s="40"/>
      <c r="P315" s="40"/>
      <c r="Q315" s="40"/>
      <c r="R315" s="40"/>
      <c r="S315" s="40"/>
      <c r="T315" s="40"/>
    </row>
    <row r="316" spans="14:20">
      <c r="N316" s="40"/>
      <c r="O316" s="40"/>
      <c r="P316" s="40"/>
      <c r="Q316" s="40"/>
      <c r="R316" s="40"/>
      <c r="S316" s="40"/>
      <c r="T316" s="40"/>
    </row>
    <row r="317" spans="14:20">
      <c r="N317" s="40"/>
      <c r="O317" s="40"/>
      <c r="P317" s="40"/>
      <c r="Q317" s="40"/>
      <c r="R317" s="40"/>
      <c r="S317" s="40"/>
      <c r="T317" s="40"/>
    </row>
    <row r="318" spans="14:20">
      <c r="N318" s="40"/>
      <c r="O318" s="40"/>
      <c r="P318" s="40"/>
      <c r="Q318" s="40"/>
      <c r="R318" s="40"/>
      <c r="S318" s="40"/>
      <c r="T318" s="40"/>
    </row>
    <row r="319" spans="14:20">
      <c r="N319" s="40"/>
      <c r="O319" s="40"/>
      <c r="P319" s="40"/>
      <c r="Q319" s="40"/>
      <c r="R319" s="40"/>
      <c r="S319" s="40"/>
      <c r="T319" s="40"/>
    </row>
    <row r="320" spans="14:20">
      <c r="N320" s="40"/>
      <c r="O320" s="40"/>
      <c r="P320" s="40"/>
      <c r="Q320" s="40"/>
      <c r="R320" s="40"/>
      <c r="S320" s="40"/>
      <c r="T320" s="40"/>
    </row>
    <row r="321" spans="14:20">
      <c r="N321" s="40"/>
      <c r="O321" s="40"/>
      <c r="P321" s="40"/>
      <c r="Q321" s="40"/>
      <c r="R321" s="40"/>
      <c r="S321" s="40"/>
      <c r="T321" s="40"/>
    </row>
    <row r="322" spans="14:20">
      <c r="N322" s="40"/>
      <c r="O322" s="40"/>
      <c r="P322" s="40"/>
      <c r="Q322" s="40"/>
      <c r="R322" s="40"/>
      <c r="S322" s="40"/>
      <c r="T322" s="40"/>
    </row>
    <row r="323" spans="14:20">
      <c r="N323" s="40"/>
      <c r="O323" s="40"/>
      <c r="P323" s="40"/>
      <c r="Q323" s="40"/>
      <c r="R323" s="40"/>
      <c r="S323" s="40"/>
      <c r="T323" s="40"/>
    </row>
    <row r="324" spans="14:20">
      <c r="N324" s="40"/>
      <c r="O324" s="40"/>
      <c r="P324" s="40"/>
      <c r="Q324" s="40"/>
      <c r="R324" s="40"/>
      <c r="S324" s="40"/>
      <c r="T324" s="40"/>
    </row>
    <row r="325" spans="14:20">
      <c r="N325" s="40"/>
      <c r="O325" s="40"/>
      <c r="P325" s="40"/>
      <c r="Q325" s="40"/>
      <c r="R325" s="40"/>
      <c r="S325" s="40"/>
      <c r="T325" s="40"/>
    </row>
    <row r="326" spans="14:20">
      <c r="N326" s="40"/>
      <c r="O326" s="40"/>
      <c r="P326" s="40"/>
      <c r="Q326" s="40"/>
      <c r="R326" s="40"/>
      <c r="S326" s="40"/>
      <c r="T326" s="40"/>
    </row>
    <row r="327" spans="14:20">
      <c r="N327" s="40"/>
      <c r="O327" s="40"/>
      <c r="P327" s="40"/>
      <c r="Q327" s="40"/>
      <c r="R327" s="40"/>
      <c r="S327" s="40"/>
      <c r="T327" s="40"/>
    </row>
    <row r="328" spans="14:20">
      <c r="N328" s="40"/>
      <c r="O328" s="40"/>
      <c r="P328" s="40"/>
      <c r="Q328" s="40"/>
      <c r="R328" s="40"/>
      <c r="S328" s="40"/>
      <c r="T328" s="40"/>
    </row>
    <row r="329" spans="14:20">
      <c r="N329" s="40"/>
      <c r="O329" s="40"/>
      <c r="P329" s="40"/>
      <c r="Q329" s="40"/>
      <c r="R329" s="40"/>
      <c r="S329" s="40"/>
      <c r="T329" s="40"/>
    </row>
    <row r="330" spans="14:20">
      <c r="N330" s="40"/>
      <c r="O330" s="40"/>
      <c r="P330" s="40"/>
      <c r="Q330" s="40"/>
      <c r="R330" s="40"/>
      <c r="S330" s="40"/>
      <c r="T330" s="40"/>
    </row>
    <row r="331" spans="14:20">
      <c r="N331" s="40"/>
      <c r="O331" s="40"/>
      <c r="P331" s="40"/>
      <c r="Q331" s="40"/>
      <c r="R331" s="40"/>
      <c r="S331" s="40"/>
      <c r="T331" s="40"/>
    </row>
    <row r="332" spans="14:20">
      <c r="N332" s="40"/>
      <c r="O332" s="40"/>
      <c r="P332" s="40"/>
      <c r="Q332" s="40"/>
      <c r="R332" s="40"/>
      <c r="S332" s="40"/>
      <c r="T332" s="40"/>
    </row>
    <row r="333" spans="14:20">
      <c r="N333" s="40"/>
      <c r="O333" s="40"/>
      <c r="P333" s="40"/>
      <c r="Q333" s="40"/>
      <c r="R333" s="40"/>
      <c r="S333" s="40"/>
      <c r="T333" s="40"/>
    </row>
    <row r="334" spans="14:20">
      <c r="N334" s="40"/>
      <c r="O334" s="40"/>
      <c r="P334" s="40"/>
      <c r="Q334" s="40"/>
      <c r="R334" s="40"/>
      <c r="S334" s="40"/>
      <c r="T334" s="40"/>
    </row>
    <row r="335" spans="14:20">
      <c r="N335" s="40"/>
      <c r="O335" s="40"/>
      <c r="P335" s="40"/>
      <c r="Q335" s="40"/>
      <c r="R335" s="40"/>
      <c r="S335" s="40"/>
      <c r="T335" s="40"/>
    </row>
    <row r="336" spans="14:20">
      <c r="N336" s="40"/>
      <c r="O336" s="40"/>
      <c r="P336" s="40"/>
      <c r="Q336" s="40"/>
      <c r="R336" s="40"/>
      <c r="S336" s="40"/>
      <c r="T336" s="40"/>
    </row>
    <row r="337" spans="14:20">
      <c r="N337" s="40"/>
      <c r="O337" s="40"/>
      <c r="P337" s="40"/>
      <c r="Q337" s="40"/>
      <c r="R337" s="40"/>
      <c r="S337" s="40"/>
      <c r="T337" s="40"/>
    </row>
    <row r="338" spans="14:20">
      <c r="N338" s="40"/>
      <c r="O338" s="40"/>
      <c r="P338" s="40"/>
      <c r="Q338" s="40"/>
      <c r="R338" s="40"/>
      <c r="S338" s="40"/>
      <c r="T338" s="40"/>
    </row>
    <row r="339" spans="14:20">
      <c r="N339" s="40"/>
      <c r="O339" s="40"/>
      <c r="P339" s="40"/>
      <c r="Q339" s="40"/>
      <c r="R339" s="40"/>
      <c r="S339" s="40"/>
      <c r="T339" s="40"/>
    </row>
    <row r="340" spans="14:20">
      <c r="N340" s="40"/>
      <c r="O340" s="40"/>
      <c r="P340" s="40"/>
      <c r="Q340" s="40"/>
      <c r="R340" s="40"/>
      <c r="S340" s="40"/>
      <c r="T340" s="40"/>
    </row>
    <row r="341" spans="14:20">
      <c r="N341" s="40"/>
      <c r="O341" s="40"/>
      <c r="P341" s="40"/>
      <c r="Q341" s="40"/>
      <c r="R341" s="40"/>
      <c r="S341" s="40"/>
      <c r="T341" s="40"/>
    </row>
    <row r="342" spans="14:20">
      <c r="N342" s="40"/>
      <c r="O342" s="40"/>
      <c r="P342" s="40"/>
      <c r="Q342" s="40"/>
      <c r="R342" s="40"/>
      <c r="S342" s="40"/>
      <c r="T342" s="40"/>
    </row>
    <row r="343" spans="14:20">
      <c r="N343" s="40"/>
      <c r="O343" s="40"/>
      <c r="P343" s="40"/>
      <c r="Q343" s="40"/>
      <c r="R343" s="40"/>
      <c r="S343" s="40"/>
      <c r="T343" s="40"/>
    </row>
    <row r="344" spans="14:20">
      <c r="N344" s="40"/>
      <c r="O344" s="40"/>
      <c r="P344" s="40"/>
      <c r="Q344" s="40"/>
      <c r="R344" s="40"/>
      <c r="S344" s="40"/>
      <c r="T344" s="40"/>
    </row>
    <row r="345" spans="14:20">
      <c r="N345" s="40"/>
      <c r="O345" s="40"/>
      <c r="P345" s="40"/>
      <c r="Q345" s="40"/>
      <c r="R345" s="40"/>
      <c r="S345" s="40"/>
      <c r="T345" s="40"/>
    </row>
    <row r="346" spans="14:20">
      <c r="N346" s="40"/>
      <c r="O346" s="40"/>
      <c r="P346" s="40"/>
      <c r="Q346" s="40"/>
      <c r="R346" s="40"/>
      <c r="S346" s="40"/>
      <c r="T346" s="40"/>
    </row>
    <row r="347" spans="14:20">
      <c r="N347" s="40"/>
      <c r="O347" s="40"/>
      <c r="P347" s="40"/>
      <c r="Q347" s="40"/>
      <c r="R347" s="40"/>
      <c r="S347" s="40"/>
      <c r="T347" s="40"/>
    </row>
    <row r="348" spans="14:20">
      <c r="N348" s="40"/>
      <c r="O348" s="40"/>
      <c r="P348" s="40"/>
      <c r="Q348" s="40"/>
      <c r="R348" s="40"/>
      <c r="S348" s="40"/>
      <c r="T348" s="40"/>
    </row>
    <row r="349" spans="14:20">
      <c r="N349" s="40"/>
      <c r="O349" s="40"/>
      <c r="P349" s="40"/>
      <c r="Q349" s="40"/>
      <c r="R349" s="40"/>
      <c r="S349" s="40"/>
      <c r="T349" s="40"/>
    </row>
    <row r="350" spans="14:20">
      <c r="N350" s="40"/>
      <c r="O350" s="40"/>
      <c r="P350" s="40"/>
      <c r="Q350" s="40"/>
      <c r="R350" s="40"/>
      <c r="S350" s="40"/>
      <c r="T350" s="40"/>
    </row>
    <row r="351" spans="14:20">
      <c r="N351" s="40"/>
      <c r="O351" s="40"/>
      <c r="P351" s="40"/>
      <c r="Q351" s="40"/>
      <c r="R351" s="40"/>
      <c r="S351" s="40"/>
      <c r="T351" s="40"/>
    </row>
    <row r="352" spans="14:20">
      <c r="N352" s="40"/>
      <c r="O352" s="40"/>
      <c r="P352" s="40"/>
      <c r="Q352" s="40"/>
      <c r="R352" s="40"/>
      <c r="S352" s="40"/>
      <c r="T352" s="40"/>
    </row>
    <row r="353" spans="14:20">
      <c r="N353" s="40"/>
      <c r="O353" s="40"/>
      <c r="P353" s="40"/>
      <c r="Q353" s="40"/>
      <c r="R353" s="40"/>
      <c r="S353" s="40"/>
      <c r="T353" s="40"/>
    </row>
    <row r="354" spans="14:20">
      <c r="N354" s="40"/>
      <c r="O354" s="40"/>
      <c r="P354" s="40"/>
      <c r="Q354" s="40"/>
      <c r="R354" s="40"/>
      <c r="S354" s="40"/>
      <c r="T354" s="40"/>
    </row>
    <row r="355" spans="14:20">
      <c r="N355" s="40"/>
      <c r="O355" s="40"/>
      <c r="P355" s="40"/>
      <c r="Q355" s="40"/>
      <c r="R355" s="40"/>
      <c r="S355" s="40"/>
      <c r="T355" s="40"/>
    </row>
    <row r="356" spans="14:20">
      <c r="N356" s="40"/>
      <c r="O356" s="40"/>
      <c r="P356" s="40"/>
      <c r="Q356" s="40"/>
      <c r="R356" s="40"/>
      <c r="S356" s="40"/>
      <c r="T356" s="40"/>
    </row>
  </sheetData>
  <mergeCells count="2">
    <mergeCell ref="A1:K1"/>
    <mergeCell ref="A18:K19"/>
  </mergeCells>
  <printOptions horizontalCentered="1" verticalCentered="1"/>
  <pageMargins left="0.4" right="0.4" top="0.25" bottom="0.25" header="0.31496062992126" footer="0.31496062992126"/>
  <pageSetup scale="5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M68"/>
  <sheetViews>
    <sheetView showGridLines="0" view="pageBreakPreview" zoomScale="85" zoomScaleNormal="100" zoomScaleSheetLayoutView="85" workbookViewId="0">
      <pane ySplit="1" topLeftCell="A2" activePane="bottomLeft" state="frozen"/>
      <selection activeCell="M22" sqref="M22"/>
      <selection pane="bottomLeft" activeCell="G19" sqref="G19"/>
    </sheetView>
  </sheetViews>
  <sheetFormatPr baseColWidth="10" defaultColWidth="11.5703125" defaultRowHeight="15"/>
  <cols>
    <col min="1" max="1" width="5.28515625" style="159" customWidth="1"/>
    <col min="2" max="2" width="27.140625" style="45" customWidth="1"/>
    <col min="3" max="3" width="23.28515625" style="77" customWidth="1"/>
    <col min="4" max="4" width="21.42578125" style="77" customWidth="1"/>
    <col min="5" max="5" width="19.7109375" style="77" customWidth="1"/>
    <col min="6" max="11" width="17.42578125" style="77" bestFit="1" customWidth="1"/>
    <col min="12" max="12" width="17.140625" style="77" customWidth="1"/>
    <col min="13" max="13" width="11.5703125" style="77"/>
    <col min="14" max="14" width="22.140625" style="77" bestFit="1" customWidth="1"/>
    <col min="15" max="15" width="11.5703125" style="77"/>
    <col min="16" max="16" width="22.140625" style="77" bestFit="1" customWidth="1"/>
    <col min="17" max="16384" width="11.5703125" style="77"/>
  </cols>
  <sheetData>
    <row r="1" spans="1:13" ht="81.75" customHeight="1">
      <c r="B1" s="1939"/>
      <c r="C1" s="1939"/>
      <c r="D1" s="1939"/>
      <c r="E1" s="1939"/>
      <c r="F1" s="1939"/>
      <c r="G1" s="1939"/>
      <c r="H1" s="1939"/>
      <c r="I1" s="1939"/>
      <c r="J1" s="1939"/>
      <c r="K1" s="1939"/>
      <c r="L1" s="1939"/>
    </row>
    <row r="2" spans="1:13" ht="9.75" customHeight="1">
      <c r="B2" s="225"/>
      <c r="C2" s="1767"/>
      <c r="D2" s="1767"/>
      <c r="E2" s="1767"/>
      <c r="F2" s="1767"/>
      <c r="G2" s="1767"/>
      <c r="H2" s="1767"/>
      <c r="I2" s="1767"/>
      <c r="J2" s="1767"/>
      <c r="K2" s="1767"/>
      <c r="L2" s="1767"/>
    </row>
    <row r="3" spans="1:13" ht="25.5">
      <c r="A3" s="1120" t="s">
        <v>967</v>
      </c>
      <c r="B3" s="1120" t="s">
        <v>108</v>
      </c>
      <c r="C3" s="1121" t="s">
        <v>966</v>
      </c>
      <c r="D3" s="1122" t="s">
        <v>947</v>
      </c>
      <c r="E3" s="1122" t="s">
        <v>581</v>
      </c>
      <c r="F3" s="1123" t="s">
        <v>573</v>
      </c>
      <c r="G3" s="1123" t="s">
        <v>492</v>
      </c>
      <c r="H3" s="1124">
        <v>2011</v>
      </c>
      <c r="I3" s="1124" t="s">
        <v>151</v>
      </c>
      <c r="J3" s="1124" t="s">
        <v>10</v>
      </c>
      <c r="K3" s="1124" t="s">
        <v>9</v>
      </c>
      <c r="L3" s="1125" t="s">
        <v>177</v>
      </c>
      <c r="M3" s="94"/>
    </row>
    <row r="4" spans="1:13">
      <c r="A4" s="1772">
        <v>1</v>
      </c>
      <c r="B4" s="1126" t="s">
        <v>110</v>
      </c>
      <c r="C4" s="1546">
        <f>SUM(D4:L4)</f>
        <v>55994527197.369995</v>
      </c>
      <c r="D4" s="1547">
        <v>5851370601.1899996</v>
      </c>
      <c r="E4" s="1548">
        <v>10983547966.809999</v>
      </c>
      <c r="F4" s="1548">
        <v>9607837034.2199993</v>
      </c>
      <c r="G4" s="1548">
        <v>8353917156.0299997</v>
      </c>
      <c r="H4" s="1548">
        <v>7058982563.4399996</v>
      </c>
      <c r="I4" s="1548">
        <v>5993827607.7299995</v>
      </c>
      <c r="J4" s="1548">
        <v>4255864090.8899999</v>
      </c>
      <c r="K4" s="1548">
        <v>3171956840.4299998</v>
      </c>
      <c r="L4" s="1549">
        <v>717223336.63</v>
      </c>
      <c r="M4" s="94"/>
    </row>
    <row r="5" spans="1:13">
      <c r="A5" s="1772">
        <v>2</v>
      </c>
      <c r="B5" s="1126" t="s">
        <v>445</v>
      </c>
      <c r="C5" s="1546">
        <f t="shared" ref="C5:C32" si="0">SUM(D5:L5)</f>
        <v>24052248596.809998</v>
      </c>
      <c r="D5" s="1547">
        <v>2627110128.8200002</v>
      </c>
      <c r="E5" s="1548">
        <v>4893712873.4899998</v>
      </c>
      <c r="F5" s="1548">
        <v>4219650063.0100002</v>
      </c>
      <c r="G5" s="1548">
        <v>3583267317.25</v>
      </c>
      <c r="H5" s="1548">
        <v>2917251369.6199999</v>
      </c>
      <c r="I5" s="1548">
        <v>2453330107.3899999</v>
      </c>
      <c r="J5" s="1548">
        <v>1730845321.46</v>
      </c>
      <c r="K5" s="1548">
        <v>1321741372.6700001</v>
      </c>
      <c r="L5" s="1549">
        <v>305340043.10000002</v>
      </c>
      <c r="M5" s="94"/>
    </row>
    <row r="6" spans="1:13">
      <c r="A6" s="1772">
        <v>3</v>
      </c>
      <c r="B6" s="1126" t="s">
        <v>113</v>
      </c>
      <c r="C6" s="1546">
        <f t="shared" si="0"/>
        <v>22784290255.689999</v>
      </c>
      <c r="D6" s="1547">
        <v>2406606781.8499999</v>
      </c>
      <c r="E6" s="1548">
        <v>4732632296.4300003</v>
      </c>
      <c r="F6" s="1548">
        <v>4513278180.0799999</v>
      </c>
      <c r="G6" s="1548">
        <v>4227970510.3499999</v>
      </c>
      <c r="H6" s="1548">
        <v>1418521323.0899999</v>
      </c>
      <c r="I6" s="1548">
        <v>2673949903.4499998</v>
      </c>
      <c r="J6" s="1548">
        <v>1522359931.3</v>
      </c>
      <c r="K6" s="1548">
        <v>837169120.65999997</v>
      </c>
      <c r="L6" s="1549">
        <v>451802208.48000002</v>
      </c>
      <c r="M6" s="94"/>
    </row>
    <row r="7" spans="1:13">
      <c r="A7" s="1772">
        <v>4</v>
      </c>
      <c r="B7" s="1126" t="s">
        <v>112</v>
      </c>
      <c r="C7" s="1546">
        <f t="shared" si="0"/>
        <v>20677737040.670002</v>
      </c>
      <c r="D7" s="1547">
        <v>2042521261.6800001</v>
      </c>
      <c r="E7" s="1550">
        <v>4114822500.02</v>
      </c>
      <c r="F7" s="1550">
        <v>3882133121.6999998</v>
      </c>
      <c r="G7" s="1550">
        <v>2827902358.5799999</v>
      </c>
      <c r="H7" s="1548">
        <v>2348696304.6199999</v>
      </c>
      <c r="I7" s="1548">
        <v>2159111716.5100002</v>
      </c>
      <c r="J7" s="1548">
        <v>1693827132.6099999</v>
      </c>
      <c r="K7" s="1548">
        <v>1308068082.8399999</v>
      </c>
      <c r="L7" s="1549">
        <v>300654562.11000001</v>
      </c>
      <c r="M7" s="94"/>
    </row>
    <row r="8" spans="1:13">
      <c r="A8" s="1772">
        <v>5</v>
      </c>
      <c r="B8" s="1126" t="s">
        <v>111</v>
      </c>
      <c r="C8" s="1546">
        <f t="shared" si="0"/>
        <v>13200646335.889999</v>
      </c>
      <c r="D8" s="1547">
        <v>420883659.99000001</v>
      </c>
      <c r="E8" s="1550">
        <v>978092827.33000004</v>
      </c>
      <c r="F8" s="1550">
        <v>1082661823.8499999</v>
      </c>
      <c r="G8" s="1550">
        <v>1207272450.53</v>
      </c>
      <c r="H8" s="1548">
        <v>3576534755.3000002</v>
      </c>
      <c r="I8" s="1548">
        <v>1854716686.5899999</v>
      </c>
      <c r="J8" s="1548">
        <v>1853101176.1400001</v>
      </c>
      <c r="K8" s="1548">
        <v>2032990871.3399999</v>
      </c>
      <c r="L8" s="1549">
        <v>194392084.81999999</v>
      </c>
      <c r="M8" s="94"/>
    </row>
    <row r="9" spans="1:13">
      <c r="A9" s="1772">
        <v>6</v>
      </c>
      <c r="B9" s="1126" t="s">
        <v>114</v>
      </c>
      <c r="C9" s="1546">
        <f t="shared" si="0"/>
        <v>9016242180.8599987</v>
      </c>
      <c r="D9" s="1550">
        <v>656308255.20000005</v>
      </c>
      <c r="E9" s="1550">
        <v>1141651799.97</v>
      </c>
      <c r="F9" s="1550">
        <v>1100171649.97</v>
      </c>
      <c r="G9" s="1550">
        <v>1108857163.1099999</v>
      </c>
      <c r="H9" s="1548">
        <v>1156590386.46</v>
      </c>
      <c r="I9" s="1548">
        <v>1325824546.05</v>
      </c>
      <c r="J9" s="1548">
        <v>1179591255.9300001</v>
      </c>
      <c r="K9" s="1548">
        <v>1086385507.04</v>
      </c>
      <c r="L9" s="1549">
        <v>260861617.13</v>
      </c>
      <c r="M9" s="94"/>
    </row>
    <row r="10" spans="1:13">
      <c r="A10" s="1772">
        <v>7</v>
      </c>
      <c r="B10" s="1126" t="s">
        <v>204</v>
      </c>
      <c r="C10" s="1546">
        <f t="shared" si="0"/>
        <v>3119370268.7700009</v>
      </c>
      <c r="D10" s="1552"/>
      <c r="E10" s="1552">
        <v>0</v>
      </c>
      <c r="F10" s="1552">
        <v>0</v>
      </c>
      <c r="G10" s="1550">
        <v>543095997.98000002</v>
      </c>
      <c r="H10" s="1548">
        <v>713723197.57000005</v>
      </c>
      <c r="I10" s="1548">
        <v>664368054.84000003</v>
      </c>
      <c r="J10" s="1548">
        <v>532130158.67000002</v>
      </c>
      <c r="K10" s="1548">
        <v>540021886.18000007</v>
      </c>
      <c r="L10" s="1549">
        <v>126030973.53</v>
      </c>
      <c r="M10" s="94"/>
    </row>
    <row r="11" spans="1:13">
      <c r="A11" s="1772">
        <v>8</v>
      </c>
      <c r="B11" s="1126" t="s">
        <v>118</v>
      </c>
      <c r="C11" s="1546">
        <f t="shared" si="0"/>
        <v>3460524861.1699996</v>
      </c>
      <c r="D11" s="1550">
        <v>674031523.32000005</v>
      </c>
      <c r="E11" s="1550">
        <v>970844788.00999999</v>
      </c>
      <c r="F11" s="1550">
        <v>639742830.92999995</v>
      </c>
      <c r="G11" s="1550">
        <v>531091333.37</v>
      </c>
      <c r="H11" s="1548">
        <v>164597786.84</v>
      </c>
      <c r="I11" s="1548">
        <v>212070337.19999999</v>
      </c>
      <c r="J11" s="1548">
        <v>143613388.97999999</v>
      </c>
      <c r="K11" s="1548">
        <v>101815700.27</v>
      </c>
      <c r="L11" s="1549">
        <v>22717172.25</v>
      </c>
      <c r="M11" s="94"/>
    </row>
    <row r="12" spans="1:13">
      <c r="A12" s="1772">
        <v>9</v>
      </c>
      <c r="B12" s="1126" t="s">
        <v>912</v>
      </c>
      <c r="C12" s="1546">
        <f t="shared" si="0"/>
        <v>2739514321.3000007</v>
      </c>
      <c r="D12" s="1550">
        <v>264826299.78999999</v>
      </c>
      <c r="E12" s="1550">
        <v>517246744.63</v>
      </c>
      <c r="F12" s="1550">
        <v>473446266.83999997</v>
      </c>
      <c r="G12" s="1550">
        <v>435689492.37</v>
      </c>
      <c r="H12" s="1548">
        <v>277244404.79000002</v>
      </c>
      <c r="I12" s="1548">
        <v>324858266.55000001</v>
      </c>
      <c r="J12" s="1548">
        <v>237105863.31999999</v>
      </c>
      <c r="K12" s="1548">
        <v>188778365.44</v>
      </c>
      <c r="L12" s="1549">
        <v>20318617.57</v>
      </c>
      <c r="M12" s="94"/>
    </row>
    <row r="13" spans="1:13">
      <c r="A13" s="1772">
        <v>10</v>
      </c>
      <c r="B13" s="1126" t="s">
        <v>115</v>
      </c>
      <c r="C13" s="1546">
        <f t="shared" si="0"/>
        <v>2163231786.7200003</v>
      </c>
      <c r="D13" s="1552"/>
      <c r="E13" s="1552">
        <v>0</v>
      </c>
      <c r="F13" s="1552">
        <v>0</v>
      </c>
      <c r="G13" s="1550">
        <v>421484991.5</v>
      </c>
      <c r="H13" s="1548">
        <v>442351015.86000001</v>
      </c>
      <c r="I13" s="1548">
        <v>453220008.48000002</v>
      </c>
      <c r="J13" s="1548">
        <v>392090764.45999998</v>
      </c>
      <c r="K13" s="1548">
        <v>388215503.41000003</v>
      </c>
      <c r="L13" s="1549">
        <v>65869503.009999998</v>
      </c>
      <c r="M13" s="94"/>
    </row>
    <row r="14" spans="1:13">
      <c r="A14" s="1772">
        <v>11</v>
      </c>
      <c r="B14" s="1126" t="s">
        <v>117</v>
      </c>
      <c r="C14" s="1546">
        <f t="shared" si="0"/>
        <v>2298004097.6199999</v>
      </c>
      <c r="D14" s="1550">
        <v>283981449.52999997</v>
      </c>
      <c r="E14" s="1550">
        <v>516044438.89999998</v>
      </c>
      <c r="F14" s="1550">
        <v>440612182.11000001</v>
      </c>
      <c r="G14" s="1550">
        <v>362032677.48000002</v>
      </c>
      <c r="H14" s="1548">
        <v>164358672.62</v>
      </c>
      <c r="I14" s="1548">
        <v>212481656.75</v>
      </c>
      <c r="J14" s="1548">
        <v>144258968.12</v>
      </c>
      <c r="K14" s="1548">
        <v>142744043.59999999</v>
      </c>
      <c r="L14" s="1549">
        <v>31490008.510000002</v>
      </c>
      <c r="M14" s="94"/>
    </row>
    <row r="15" spans="1:13">
      <c r="A15" s="1772">
        <v>12</v>
      </c>
      <c r="B15" s="1126" t="s">
        <v>221</v>
      </c>
      <c r="C15" s="1546">
        <f t="shared" si="0"/>
        <v>1947562556.25</v>
      </c>
      <c r="D15" s="1550">
        <v>159089768.56</v>
      </c>
      <c r="E15" s="1550">
        <v>258311833.18000001</v>
      </c>
      <c r="F15" s="1550">
        <v>215448057.84</v>
      </c>
      <c r="G15" s="1550">
        <v>180182244.78999999</v>
      </c>
      <c r="H15" s="1548">
        <v>376763650.83999997</v>
      </c>
      <c r="I15" s="1548">
        <v>230757864.44</v>
      </c>
      <c r="J15" s="1548">
        <v>179223706.03999999</v>
      </c>
      <c r="K15" s="1548">
        <v>279898886.94999999</v>
      </c>
      <c r="L15" s="1549">
        <v>67886543.609999999</v>
      </c>
      <c r="M15" s="94"/>
    </row>
    <row r="16" spans="1:13">
      <c r="A16" s="1772">
        <v>13</v>
      </c>
      <c r="B16" s="1126" t="s">
        <v>120</v>
      </c>
      <c r="C16" s="1546">
        <f t="shared" si="0"/>
        <v>1907752656.3599999</v>
      </c>
      <c r="D16" s="1550">
        <v>247494337.31999999</v>
      </c>
      <c r="E16" s="1550">
        <v>443167668.97000003</v>
      </c>
      <c r="F16" s="1550">
        <v>372436306.32999998</v>
      </c>
      <c r="G16" s="1550">
        <v>320437811.80000001</v>
      </c>
      <c r="H16" s="1548">
        <v>168441449.5</v>
      </c>
      <c r="I16" s="1548">
        <v>177045106.05000001</v>
      </c>
      <c r="J16" s="1548">
        <v>99785424.680000007</v>
      </c>
      <c r="K16" s="1548">
        <v>59317583.659999996</v>
      </c>
      <c r="L16" s="1549">
        <v>19626968.050000001</v>
      </c>
      <c r="M16" s="94"/>
    </row>
    <row r="17" spans="1:13">
      <c r="A17" s="1772">
        <v>14</v>
      </c>
      <c r="B17" s="1126" t="s">
        <v>102</v>
      </c>
      <c r="C17" s="1546">
        <f t="shared" si="0"/>
        <v>1669393884.04</v>
      </c>
      <c r="D17" s="1550">
        <v>129805165.04000001</v>
      </c>
      <c r="E17" s="1550">
        <v>247529123.78999999</v>
      </c>
      <c r="F17" s="1550">
        <v>228289268.22</v>
      </c>
      <c r="G17" s="1550">
        <v>219725858.91</v>
      </c>
      <c r="H17" s="1548">
        <v>328109846.66000003</v>
      </c>
      <c r="I17" s="1548">
        <v>185320118.5</v>
      </c>
      <c r="J17" s="1548">
        <v>156843229.44999999</v>
      </c>
      <c r="K17" s="1548">
        <v>142842652.22999999</v>
      </c>
      <c r="L17" s="1549">
        <v>30928621.239999998</v>
      </c>
      <c r="M17" s="94"/>
    </row>
    <row r="18" spans="1:13">
      <c r="A18" s="1772">
        <v>15</v>
      </c>
      <c r="B18" s="1126" t="s">
        <v>201</v>
      </c>
      <c r="C18" s="1546">
        <f t="shared" si="0"/>
        <v>1623041236.9099998</v>
      </c>
      <c r="D18" s="1547">
        <v>269571049.38</v>
      </c>
      <c r="E18" s="1550">
        <v>359504426.99000001</v>
      </c>
      <c r="F18" s="1550">
        <v>217473814.38999999</v>
      </c>
      <c r="G18" s="1550">
        <v>162704809.56</v>
      </c>
      <c r="H18" s="1548">
        <v>242443956.69</v>
      </c>
      <c r="I18" s="1548">
        <v>147377060.99000001</v>
      </c>
      <c r="J18" s="1548">
        <v>112268471.84999999</v>
      </c>
      <c r="K18" s="1548">
        <v>101180101.09999999</v>
      </c>
      <c r="L18" s="1549">
        <v>10517545.960000001</v>
      </c>
      <c r="M18" s="94"/>
    </row>
    <row r="19" spans="1:13">
      <c r="A19" s="1772"/>
      <c r="B19" s="1126" t="s">
        <v>116</v>
      </c>
      <c r="C19" s="1546">
        <f t="shared" si="0"/>
        <v>1328820125.02</v>
      </c>
      <c r="D19" s="1547">
        <v>94177831.859999999</v>
      </c>
      <c r="E19" s="1550">
        <v>157228072.71000001</v>
      </c>
      <c r="F19" s="1550">
        <v>158346055.74000001</v>
      </c>
      <c r="G19" s="1550">
        <v>165405764.31</v>
      </c>
      <c r="H19" s="1548">
        <v>207747862.83000001</v>
      </c>
      <c r="I19" s="1548">
        <v>183095103.16999999</v>
      </c>
      <c r="J19" s="1548">
        <v>173289666.88999999</v>
      </c>
      <c r="K19" s="1548">
        <v>152381750.58000001</v>
      </c>
      <c r="L19" s="1549">
        <v>37148016.93</v>
      </c>
      <c r="M19" s="94"/>
    </row>
    <row r="20" spans="1:13">
      <c r="A20" s="1772">
        <v>17</v>
      </c>
      <c r="B20" s="1126" t="s">
        <v>119</v>
      </c>
      <c r="C20" s="1546">
        <f t="shared" si="0"/>
        <v>1307243105.9100001</v>
      </c>
      <c r="D20" s="1547">
        <v>105411625.38</v>
      </c>
      <c r="E20" s="1550">
        <v>188260257.72</v>
      </c>
      <c r="F20" s="1550">
        <v>176997737.69999999</v>
      </c>
      <c r="G20" s="1550">
        <v>165030447.47999999</v>
      </c>
      <c r="H20" s="1548">
        <v>200254647.37</v>
      </c>
      <c r="I20" s="1548">
        <v>162351674.63</v>
      </c>
      <c r="J20" s="1548">
        <v>133956323.18000001</v>
      </c>
      <c r="K20" s="1548">
        <v>144575101.05000001</v>
      </c>
      <c r="L20" s="1549">
        <v>30405291.399999999</v>
      </c>
      <c r="M20" s="94"/>
    </row>
    <row r="21" spans="1:13">
      <c r="A21" s="1772">
        <v>18</v>
      </c>
      <c r="B21" s="1126" t="s">
        <v>444</v>
      </c>
      <c r="C21" s="1546">
        <f t="shared" si="0"/>
        <v>1233997914.1700003</v>
      </c>
      <c r="D21" s="1547">
        <v>176707084.84</v>
      </c>
      <c r="E21" s="1550">
        <v>289565045.02999997</v>
      </c>
      <c r="F21" s="1550">
        <v>198348265.86000001</v>
      </c>
      <c r="G21" s="1550">
        <v>192373833.68000001</v>
      </c>
      <c r="H21" s="1548">
        <v>84838162.140000001</v>
      </c>
      <c r="I21" s="1548">
        <v>146415631.84</v>
      </c>
      <c r="J21" s="1548">
        <v>82340505.900000006</v>
      </c>
      <c r="K21" s="1548">
        <v>51990419.979999997</v>
      </c>
      <c r="L21" s="1549">
        <v>11418964.9</v>
      </c>
      <c r="M21" s="94"/>
    </row>
    <row r="22" spans="1:13">
      <c r="A22" s="1772">
        <v>19</v>
      </c>
      <c r="B22" s="1126" t="s">
        <v>121</v>
      </c>
      <c r="C22" s="1546">
        <f t="shared" si="0"/>
        <v>1042962184.58</v>
      </c>
      <c r="D22" s="1547">
        <v>114182067.3</v>
      </c>
      <c r="E22" s="1550">
        <v>198373489.30000001</v>
      </c>
      <c r="F22" s="1550">
        <v>152949848.16</v>
      </c>
      <c r="G22" s="1550">
        <v>126354636.18000001</v>
      </c>
      <c r="H22" s="1548">
        <v>157728696.47</v>
      </c>
      <c r="I22" s="1548">
        <v>100744058.06999999</v>
      </c>
      <c r="J22" s="1548">
        <v>98244497.489999995</v>
      </c>
      <c r="K22" s="1548">
        <v>84894705.409999996</v>
      </c>
      <c r="L22" s="1549">
        <v>9490186.1999999993</v>
      </c>
      <c r="M22" s="94"/>
    </row>
    <row r="23" spans="1:13">
      <c r="A23" s="1772">
        <v>20</v>
      </c>
      <c r="B23" s="1126" t="s">
        <v>203</v>
      </c>
      <c r="C23" s="1546">
        <f t="shared" si="0"/>
        <v>864784096.91999936</v>
      </c>
      <c r="D23" s="1547">
        <v>136196404.84</v>
      </c>
      <c r="E23" s="1550">
        <v>254472361.72999999</v>
      </c>
      <c r="F23" s="1550">
        <v>206719754.03999999</v>
      </c>
      <c r="G23" s="1550">
        <v>167609040.38999999</v>
      </c>
      <c r="H23" s="1551">
        <v>0</v>
      </c>
      <c r="I23" s="1548">
        <v>97694135.319999993</v>
      </c>
      <c r="J23" s="1551">
        <v>0</v>
      </c>
      <c r="K23" s="1551">
        <v>0</v>
      </c>
      <c r="L23" s="1549">
        <v>2092400.5999994278</v>
      </c>
      <c r="M23" s="94"/>
    </row>
    <row r="24" spans="1:13">
      <c r="A24" s="1772">
        <v>21</v>
      </c>
      <c r="B24" s="1126" t="s">
        <v>122</v>
      </c>
      <c r="C24" s="1546">
        <f t="shared" si="0"/>
        <v>522137790.63999993</v>
      </c>
      <c r="D24" s="1547">
        <v>19753447.050000001</v>
      </c>
      <c r="E24" s="1550">
        <v>40249307.670000002</v>
      </c>
      <c r="F24" s="1550">
        <v>42257397.75</v>
      </c>
      <c r="G24" s="1550">
        <v>47552830.670000002</v>
      </c>
      <c r="H24" s="1548">
        <v>148201570.16</v>
      </c>
      <c r="I24" s="1548">
        <v>72128067.510000005</v>
      </c>
      <c r="J24" s="1548">
        <v>72945917.959999993</v>
      </c>
      <c r="K24" s="1548">
        <v>66282696.030000001</v>
      </c>
      <c r="L24" s="1549">
        <v>12766555.84</v>
      </c>
      <c r="M24" s="94"/>
    </row>
    <row r="25" spans="1:13">
      <c r="A25" s="1772">
        <v>22</v>
      </c>
      <c r="B25" s="1126" t="s">
        <v>202</v>
      </c>
      <c r="C25" s="1546">
        <f t="shared" si="0"/>
        <v>519417539.76999998</v>
      </c>
      <c r="D25" s="1547">
        <v>41666479.469999999</v>
      </c>
      <c r="E25" s="1550">
        <v>83222214.719999999</v>
      </c>
      <c r="F25" s="1550">
        <v>79446217.159999996</v>
      </c>
      <c r="G25" s="1550">
        <v>78944015.969999999</v>
      </c>
      <c r="H25" s="1548">
        <v>50919574.450000003</v>
      </c>
      <c r="I25" s="1548">
        <v>67501380.629999995</v>
      </c>
      <c r="J25" s="1548">
        <v>58003635.020000003</v>
      </c>
      <c r="K25" s="1548">
        <v>53886807.359999999</v>
      </c>
      <c r="L25" s="1549">
        <v>5827214.9900000002</v>
      </c>
      <c r="M25" s="94"/>
    </row>
    <row r="26" spans="1:13">
      <c r="A26" s="1772">
        <v>23</v>
      </c>
      <c r="B26" s="1126" t="s">
        <v>123</v>
      </c>
      <c r="C26" s="1546">
        <f t="shared" si="0"/>
        <v>379903660.19000006</v>
      </c>
      <c r="D26" s="1547">
        <v>15880991.01</v>
      </c>
      <c r="E26" s="1550">
        <v>36451324.079999998</v>
      </c>
      <c r="F26" s="1550">
        <v>41174860.159999996</v>
      </c>
      <c r="G26" s="1550">
        <v>45850977.93</v>
      </c>
      <c r="H26" s="1548">
        <v>53812757.039999999</v>
      </c>
      <c r="I26" s="1548">
        <v>63399690.530000001</v>
      </c>
      <c r="J26" s="1548">
        <v>57287198.299999997</v>
      </c>
      <c r="K26" s="1548">
        <v>54700745.920000002</v>
      </c>
      <c r="L26" s="1549">
        <v>11345115.220000001</v>
      </c>
      <c r="M26" s="94"/>
    </row>
    <row r="27" spans="1:13">
      <c r="A27" s="1772">
        <v>24</v>
      </c>
      <c r="B27" s="1126" t="s">
        <v>161</v>
      </c>
      <c r="C27" s="1546">
        <f t="shared" si="0"/>
        <v>260644027.96000001</v>
      </c>
      <c r="D27" s="1552"/>
      <c r="E27" s="1552">
        <v>0</v>
      </c>
      <c r="F27" s="1552">
        <v>0</v>
      </c>
      <c r="G27" s="1552">
        <v>0</v>
      </c>
      <c r="H27" s="1548">
        <v>75662331.959999993</v>
      </c>
      <c r="I27" s="1551">
        <v>0</v>
      </c>
      <c r="J27" s="1548">
        <v>84626497.980000004</v>
      </c>
      <c r="K27" s="1548">
        <v>86908288.420000002</v>
      </c>
      <c r="L27" s="1549">
        <v>13446909.6</v>
      </c>
      <c r="M27" s="94"/>
    </row>
    <row r="28" spans="1:13">
      <c r="A28" s="1772">
        <v>25</v>
      </c>
      <c r="B28" s="1126" t="s">
        <v>124</v>
      </c>
      <c r="C28" s="1546">
        <f t="shared" si="0"/>
        <v>172228376.97</v>
      </c>
      <c r="D28" s="1547">
        <v>12074746.77</v>
      </c>
      <c r="E28" s="1550">
        <v>23089101.420000002</v>
      </c>
      <c r="F28" s="1550">
        <v>21341806.690000001</v>
      </c>
      <c r="G28" s="1550">
        <v>20222094.07</v>
      </c>
      <c r="H28" s="1551">
        <v>0</v>
      </c>
      <c r="I28" s="1548">
        <v>23975542.640000001</v>
      </c>
      <c r="J28" s="1548">
        <v>32578583.809999999</v>
      </c>
      <c r="K28" s="1548">
        <v>38946501.57</v>
      </c>
      <c r="L28" s="1553">
        <v>0</v>
      </c>
      <c r="M28" s="94"/>
    </row>
    <row r="29" spans="1:13">
      <c r="A29" s="1772">
        <v>26</v>
      </c>
      <c r="B29" s="1126" t="s">
        <v>125</v>
      </c>
      <c r="C29" s="1546">
        <f t="shared" si="0"/>
        <v>114002984.84</v>
      </c>
      <c r="D29" s="1552"/>
      <c r="E29" s="1552">
        <v>0</v>
      </c>
      <c r="F29" s="1552">
        <v>0</v>
      </c>
      <c r="G29" s="1552">
        <v>0</v>
      </c>
      <c r="H29" s="1548">
        <v>19428109.170000002</v>
      </c>
      <c r="I29" s="1548">
        <v>26456723.530000001</v>
      </c>
      <c r="J29" s="1548">
        <v>29143437.670000002</v>
      </c>
      <c r="K29" s="1548">
        <v>29052164.510000002</v>
      </c>
      <c r="L29" s="1549">
        <v>9922549.9600000009</v>
      </c>
      <c r="M29" s="94"/>
    </row>
    <row r="30" spans="1:13">
      <c r="A30" s="1772">
        <v>27</v>
      </c>
      <c r="B30" s="1126" t="s">
        <v>160</v>
      </c>
      <c r="C30" s="1546">
        <f t="shared" si="0"/>
        <v>75538660.520000011</v>
      </c>
      <c r="D30" s="1552"/>
      <c r="E30" s="1552">
        <v>0</v>
      </c>
      <c r="F30" s="1550">
        <v>9039886.4199999999</v>
      </c>
      <c r="G30" s="1550">
        <v>11648475.24</v>
      </c>
      <c r="H30" s="1548">
        <v>11616199</v>
      </c>
      <c r="I30" s="1548">
        <v>13123437.08</v>
      </c>
      <c r="J30" s="1548">
        <v>12290501.890000001</v>
      </c>
      <c r="K30" s="1548">
        <v>10178195.6</v>
      </c>
      <c r="L30" s="1549">
        <v>7641965.29</v>
      </c>
      <c r="M30" s="94"/>
    </row>
    <row r="31" spans="1:13">
      <c r="A31" s="1772">
        <v>28</v>
      </c>
      <c r="B31" s="1126" t="s">
        <v>159</v>
      </c>
      <c r="C31" s="1546">
        <f t="shared" si="0"/>
        <v>65746073.510000005</v>
      </c>
      <c r="D31" s="1552"/>
      <c r="E31" s="1552">
        <v>0</v>
      </c>
      <c r="F31" s="1552">
        <v>0</v>
      </c>
      <c r="G31" s="1552">
        <v>0</v>
      </c>
      <c r="H31" s="1552">
        <v>0</v>
      </c>
      <c r="I31" s="1552">
        <v>0</v>
      </c>
      <c r="J31" s="1552">
        <v>0</v>
      </c>
      <c r="K31" s="1548">
        <v>18445870.670000002</v>
      </c>
      <c r="L31" s="1549">
        <v>47300202.840000004</v>
      </c>
      <c r="M31" s="94"/>
    </row>
    <row r="32" spans="1:13">
      <c r="A32" s="1772">
        <v>29</v>
      </c>
      <c r="B32" s="1126" t="s">
        <v>126</v>
      </c>
      <c r="C32" s="1546">
        <f t="shared" si="0"/>
        <v>40803540.200000003</v>
      </c>
      <c r="D32" s="1552"/>
      <c r="E32" s="1552">
        <v>0</v>
      </c>
      <c r="F32" s="1551">
        <v>0</v>
      </c>
      <c r="G32" s="1551">
        <v>0</v>
      </c>
      <c r="H32" s="1551">
        <v>0</v>
      </c>
      <c r="I32" s="1548">
        <v>12853568.029999999</v>
      </c>
      <c r="J32" s="1548">
        <v>13003979.24</v>
      </c>
      <c r="K32" s="1548">
        <v>12185832.32</v>
      </c>
      <c r="L32" s="1549">
        <v>2760160.61</v>
      </c>
      <c r="M32" s="94"/>
    </row>
    <row r="33" spans="1:13" s="1169" customFormat="1" ht="18" customHeight="1">
      <c r="A33" s="1120" t="s">
        <v>23</v>
      </c>
      <c r="B33" s="1120" t="s">
        <v>23</v>
      </c>
      <c r="C33" s="1127">
        <f>SUM(C4:C32)</f>
        <v>174582317357.62997</v>
      </c>
      <c r="D33" s="1128">
        <f>SUM(D4:D32)</f>
        <v>16749650960.190001</v>
      </c>
      <c r="E33" s="1129">
        <f t="shared" ref="E33:L33" si="1">SUM(E4:E32)</f>
        <v>31428020462.900005</v>
      </c>
      <c r="F33" s="1129">
        <f t="shared" si="1"/>
        <v>28079802429.170002</v>
      </c>
      <c r="G33" s="1129">
        <f t="shared" si="1"/>
        <v>25506624289.529999</v>
      </c>
      <c r="H33" s="1129">
        <f t="shared" si="1"/>
        <v>22364820594.489998</v>
      </c>
      <c r="I33" s="1129">
        <f t="shared" si="1"/>
        <v>20037998054.499992</v>
      </c>
      <c r="J33" s="1129">
        <f t="shared" si="1"/>
        <v>15080619629.229998</v>
      </c>
      <c r="K33" s="1129">
        <f t="shared" si="1"/>
        <v>12507555597.240002</v>
      </c>
      <c r="L33" s="1130">
        <f t="shared" si="1"/>
        <v>2827225340.3800001</v>
      </c>
      <c r="M33" s="172"/>
    </row>
    <row r="34" spans="1:13" ht="5.25" customHeight="1">
      <c r="B34" s="226"/>
      <c r="C34" s="109"/>
      <c r="D34" s="109"/>
      <c r="E34" s="109"/>
      <c r="F34" s="109"/>
      <c r="G34" s="109" t="s">
        <v>219</v>
      </c>
      <c r="H34" s="109"/>
      <c r="I34" s="109"/>
      <c r="J34" s="109"/>
      <c r="K34" s="109"/>
      <c r="L34" s="94"/>
    </row>
    <row r="35" spans="1:13" ht="15.75">
      <c r="B35" s="178"/>
      <c r="C35" s="94"/>
      <c r="D35" s="94"/>
      <c r="E35" s="94"/>
      <c r="F35" s="94"/>
      <c r="G35" s="123" t="s">
        <v>219</v>
      </c>
      <c r="H35" s="94"/>
      <c r="I35" s="94"/>
      <c r="J35" s="94"/>
      <c r="K35" s="94"/>
      <c r="L35" s="94"/>
    </row>
    <row r="36" spans="1:13" ht="15.75">
      <c r="B36" s="178"/>
      <c r="C36" s="94"/>
      <c r="D36" s="94"/>
      <c r="E36" s="94"/>
      <c r="F36" s="94"/>
      <c r="G36" s="123" t="s">
        <v>219</v>
      </c>
      <c r="H36" s="94"/>
      <c r="I36" s="94"/>
      <c r="J36" s="94"/>
      <c r="K36" s="94"/>
      <c r="L36" s="94"/>
    </row>
    <row r="37" spans="1:13" ht="15.75">
      <c r="B37" s="178"/>
      <c r="C37" s="94"/>
      <c r="D37" s="94"/>
      <c r="E37" s="94"/>
      <c r="F37" s="94"/>
      <c r="G37" s="123" t="s">
        <v>219</v>
      </c>
      <c r="H37" s="94"/>
      <c r="I37" s="94"/>
      <c r="J37" s="94"/>
      <c r="K37" s="94"/>
      <c r="L37" s="94"/>
    </row>
    <row r="38" spans="1:13" ht="15.75">
      <c r="B38" s="178"/>
      <c r="C38" s="94"/>
      <c r="D38" s="94"/>
      <c r="E38" s="94"/>
      <c r="F38" s="94"/>
      <c r="G38" s="123" t="s">
        <v>219</v>
      </c>
      <c r="H38" s="94"/>
      <c r="I38" s="94"/>
      <c r="J38" s="94"/>
      <c r="K38" s="94"/>
      <c r="L38" s="94"/>
    </row>
    <row r="39" spans="1:13" ht="15.75">
      <c r="B39" s="178"/>
      <c r="C39" s="94"/>
      <c r="D39" s="94"/>
      <c r="E39" s="94"/>
      <c r="F39" s="94"/>
      <c r="G39" s="123" t="s">
        <v>219</v>
      </c>
      <c r="H39" s="94"/>
      <c r="I39" s="94"/>
      <c r="J39" s="94"/>
      <c r="K39" s="94"/>
      <c r="L39" s="94"/>
    </row>
    <row r="40" spans="1:13" ht="15.75">
      <c r="B40" s="178"/>
      <c r="C40" s="94"/>
      <c r="D40" s="94"/>
      <c r="E40" s="94"/>
      <c r="F40" s="94"/>
      <c r="G40" s="123" t="s">
        <v>219</v>
      </c>
      <c r="H40" s="94"/>
      <c r="I40" s="94"/>
      <c r="J40" s="94"/>
      <c r="K40" s="94"/>
      <c r="L40" s="94"/>
    </row>
    <row r="41" spans="1:13" ht="15.75">
      <c r="B41" s="178"/>
      <c r="C41" s="94"/>
      <c r="D41" s="94"/>
      <c r="E41" s="94"/>
      <c r="F41" s="94"/>
      <c r="G41" s="123" t="s">
        <v>219</v>
      </c>
      <c r="H41" s="94"/>
      <c r="I41" s="94"/>
      <c r="J41" s="94"/>
      <c r="K41" s="94"/>
      <c r="L41" s="94"/>
    </row>
    <row r="42" spans="1:13" ht="15.75">
      <c r="B42" s="178"/>
      <c r="C42" s="94"/>
      <c r="D42" s="94"/>
      <c r="E42" s="94"/>
      <c r="F42" s="94"/>
      <c r="G42" s="123" t="s">
        <v>219</v>
      </c>
      <c r="H42" s="94"/>
      <c r="I42" s="94"/>
      <c r="J42" s="94"/>
      <c r="K42" s="94"/>
      <c r="L42" s="94"/>
    </row>
    <row r="43" spans="1:13" ht="15.75">
      <c r="B43" s="178"/>
      <c r="C43" s="94"/>
      <c r="D43" s="94"/>
      <c r="E43" s="94"/>
      <c r="F43" s="94"/>
      <c r="G43" s="123" t="s">
        <v>219</v>
      </c>
      <c r="H43" s="94"/>
      <c r="I43" s="94"/>
      <c r="J43" s="94"/>
      <c r="K43" s="94"/>
      <c r="L43" s="94"/>
    </row>
    <row r="44" spans="1:13" ht="15.75">
      <c r="B44" s="178"/>
      <c r="C44" s="94"/>
      <c r="D44" s="94"/>
      <c r="E44" s="94"/>
      <c r="F44" s="94"/>
      <c r="G44" s="123" t="s">
        <v>219</v>
      </c>
      <c r="H44" s="94"/>
      <c r="I44" s="94"/>
      <c r="J44" s="94"/>
      <c r="K44" s="94"/>
      <c r="L44" s="94"/>
    </row>
    <row r="45" spans="1:13" ht="15.75">
      <c r="B45" s="178"/>
      <c r="C45" s="94"/>
      <c r="D45" s="94"/>
      <c r="E45" s="94"/>
      <c r="F45" s="94"/>
      <c r="G45" s="123" t="s">
        <v>219</v>
      </c>
      <c r="H45" s="94"/>
      <c r="I45" s="94"/>
      <c r="J45" s="94"/>
      <c r="K45" s="94"/>
      <c r="L45" s="94"/>
    </row>
    <row r="46" spans="1:13" ht="15.75">
      <c r="B46" s="178"/>
      <c r="C46" s="94"/>
      <c r="D46" s="94"/>
      <c r="E46" s="94"/>
      <c r="F46" s="94"/>
      <c r="G46" s="123" t="s">
        <v>219</v>
      </c>
      <c r="H46" s="94"/>
      <c r="I46" s="94"/>
      <c r="J46" s="94"/>
      <c r="K46" s="94"/>
      <c r="L46" s="94"/>
    </row>
    <row r="47" spans="1:13" ht="15.75">
      <c r="B47" s="178"/>
      <c r="C47" s="94"/>
      <c r="D47" s="94"/>
      <c r="E47" s="94"/>
      <c r="F47" s="94"/>
      <c r="G47" s="123" t="s">
        <v>219</v>
      </c>
      <c r="H47" s="94"/>
      <c r="I47" s="94"/>
      <c r="J47" s="94"/>
      <c r="K47" s="94"/>
      <c r="L47" s="94"/>
    </row>
    <row r="48" spans="1:13" ht="15.75">
      <c r="B48" s="178"/>
      <c r="C48" s="94"/>
      <c r="D48" s="94"/>
      <c r="E48" s="94"/>
      <c r="F48" s="94"/>
      <c r="G48" s="123" t="s">
        <v>219</v>
      </c>
      <c r="H48" s="94"/>
      <c r="I48" s="94"/>
      <c r="J48" s="94"/>
      <c r="K48" s="94"/>
      <c r="L48" s="94"/>
    </row>
    <row r="49" spans="2:12" ht="15.75">
      <c r="B49" s="178"/>
      <c r="C49" s="94"/>
      <c r="D49" s="94"/>
      <c r="E49" s="94"/>
      <c r="F49" s="94"/>
      <c r="G49" s="123" t="s">
        <v>219</v>
      </c>
      <c r="H49" s="94"/>
      <c r="I49" s="94"/>
      <c r="J49" s="94"/>
      <c r="K49" s="94"/>
      <c r="L49" s="94"/>
    </row>
    <row r="50" spans="2:12" ht="15.75">
      <c r="B50" s="178"/>
      <c r="C50" s="94"/>
      <c r="D50" s="94"/>
      <c r="E50" s="94"/>
      <c r="F50" s="94"/>
      <c r="G50" s="123" t="s">
        <v>219</v>
      </c>
      <c r="H50" s="94"/>
      <c r="I50" s="94"/>
      <c r="J50" s="94"/>
      <c r="K50" s="94"/>
      <c r="L50" s="94"/>
    </row>
    <row r="51" spans="2:12" ht="15.75">
      <c r="B51" s="178"/>
      <c r="C51" s="94"/>
      <c r="D51" s="94"/>
      <c r="E51" s="94"/>
      <c r="F51" s="94"/>
      <c r="G51" s="123" t="s">
        <v>219</v>
      </c>
      <c r="H51" s="94"/>
      <c r="I51" s="94"/>
      <c r="J51" s="94"/>
      <c r="K51" s="94"/>
      <c r="L51" s="94"/>
    </row>
    <row r="52" spans="2:12" ht="15.75">
      <c r="B52" s="178"/>
      <c r="C52" s="94"/>
      <c r="D52" s="94"/>
      <c r="E52" s="94"/>
      <c r="F52" s="94"/>
      <c r="G52" s="123" t="s">
        <v>219</v>
      </c>
      <c r="H52" s="94"/>
      <c r="I52" s="94"/>
      <c r="J52" s="94"/>
      <c r="K52" s="94"/>
      <c r="L52" s="94"/>
    </row>
    <row r="53" spans="2:12" ht="15.75">
      <c r="B53" s="178"/>
      <c r="C53" s="94"/>
      <c r="D53" s="94"/>
      <c r="E53" s="94"/>
      <c r="F53" s="94"/>
      <c r="G53" s="123" t="s">
        <v>219</v>
      </c>
      <c r="H53" s="94"/>
      <c r="I53" s="94"/>
      <c r="J53" s="94"/>
      <c r="K53" s="94"/>
      <c r="L53" s="94"/>
    </row>
    <row r="54" spans="2:12" ht="15.75">
      <c r="B54" s="178"/>
      <c r="C54" s="94"/>
      <c r="D54" s="94"/>
      <c r="E54" s="94"/>
      <c r="F54" s="94"/>
      <c r="G54" s="123" t="s">
        <v>219</v>
      </c>
      <c r="H54" s="94"/>
      <c r="I54" s="94"/>
      <c r="J54" s="94"/>
      <c r="K54" s="94"/>
      <c r="L54" s="94"/>
    </row>
    <row r="55" spans="2:12" ht="15.75">
      <c r="B55" s="178"/>
      <c r="C55" s="94"/>
      <c r="D55" s="94"/>
      <c r="E55" s="94"/>
      <c r="F55" s="94"/>
      <c r="G55" s="123" t="s">
        <v>219</v>
      </c>
      <c r="H55" s="94"/>
      <c r="I55" s="94"/>
      <c r="J55" s="94"/>
      <c r="K55" s="94"/>
      <c r="L55" s="94"/>
    </row>
    <row r="56" spans="2:12" ht="15.75">
      <c r="B56" s="178"/>
      <c r="C56" s="94"/>
      <c r="D56" s="94"/>
      <c r="E56" s="94"/>
      <c r="F56" s="94"/>
      <c r="G56" s="123" t="s">
        <v>219</v>
      </c>
      <c r="H56" s="94"/>
      <c r="I56" s="94"/>
      <c r="J56" s="94"/>
      <c r="K56" s="94"/>
      <c r="L56" s="94"/>
    </row>
    <row r="57" spans="2:12" ht="15.75">
      <c r="B57" s="178"/>
      <c r="C57" s="94"/>
      <c r="D57" s="94"/>
      <c r="E57" s="94"/>
      <c r="F57" s="94"/>
      <c r="G57" s="123" t="s">
        <v>219</v>
      </c>
      <c r="H57" s="94"/>
      <c r="I57" s="94"/>
      <c r="J57" s="94"/>
      <c r="K57" s="94"/>
      <c r="L57" s="94"/>
    </row>
    <row r="58" spans="2:12">
      <c r="B58" s="178"/>
      <c r="C58" s="94"/>
      <c r="D58" s="94"/>
      <c r="E58" s="94"/>
      <c r="F58" s="94"/>
      <c r="G58" s="94" t="e">
        <f>SUM(#REF!)</f>
        <v>#REF!</v>
      </c>
      <c r="H58" s="94"/>
      <c r="I58" s="94"/>
      <c r="J58" s="94"/>
      <c r="K58" s="94"/>
      <c r="L58" s="94"/>
    </row>
    <row r="67" spans="2:2" ht="15.75" customHeight="1"/>
    <row r="68" spans="2:2" ht="13.5" customHeight="1">
      <c r="B68" s="50" t="s">
        <v>33</v>
      </c>
    </row>
  </sheetData>
  <autoFilter ref="B3:L58"/>
  <mergeCells count="1">
    <mergeCell ref="B1:L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61"/>
  <sheetViews>
    <sheetView showGridLines="0" view="pageBreakPreview" zoomScale="70" zoomScaleNormal="100" zoomScaleSheetLayoutView="70" workbookViewId="0">
      <pane ySplit="1" topLeftCell="A2" activePane="bottomLeft" state="frozen"/>
      <selection activeCell="M22" sqref="M22"/>
      <selection pane="bottomLeft" activeCell="J36" sqref="J36"/>
    </sheetView>
  </sheetViews>
  <sheetFormatPr baseColWidth="10" defaultColWidth="11.5703125" defaultRowHeight="15" customHeight="1"/>
  <cols>
    <col min="1" max="1" width="35.42578125" style="77" customWidth="1"/>
    <col min="2" max="2" width="21.28515625" style="77" bestFit="1" customWidth="1"/>
    <col min="3" max="3" width="12.85546875" style="77" customWidth="1"/>
    <col min="4" max="4" width="11" style="77" customWidth="1"/>
    <col min="5" max="5" width="12.28515625" style="77" customWidth="1"/>
    <col min="6" max="6" width="11.7109375" style="77" customWidth="1"/>
    <col min="7" max="7" width="16.85546875" style="77" bestFit="1" customWidth="1"/>
    <col min="8" max="8" width="16" style="77" customWidth="1"/>
    <col min="9" max="9" width="33.85546875" style="77" customWidth="1"/>
    <col min="10" max="10" width="24.85546875" style="77" customWidth="1"/>
    <col min="11" max="11" width="16.42578125" style="77" customWidth="1"/>
    <col min="12" max="12" width="11.5703125" style="77" customWidth="1"/>
    <col min="13" max="13" width="20.85546875" style="77" customWidth="1"/>
    <col min="14" max="14" width="11.5703125" style="77" customWidth="1"/>
    <col min="15" max="16384" width="11.5703125" style="77"/>
  </cols>
  <sheetData>
    <row r="1" spans="1:14" ht="86.25" customHeight="1">
      <c r="A1" s="1940"/>
      <c r="B1" s="1940"/>
      <c r="C1" s="1940"/>
      <c r="D1" s="1940"/>
      <c r="E1" s="1940"/>
      <c r="F1" s="1940"/>
      <c r="G1" s="1940"/>
      <c r="H1" s="1940"/>
      <c r="I1" s="1940"/>
      <c r="J1" s="1940"/>
      <c r="K1" s="1940"/>
      <c r="L1" s="1940"/>
    </row>
    <row r="2" spans="1:14" ht="7.5" customHeight="1">
      <c r="A2" s="1941" t="s">
        <v>33</v>
      </c>
      <c r="B2" s="1941"/>
      <c r="C2" s="1941"/>
      <c r="D2" s="1941"/>
      <c r="E2" s="1941"/>
      <c r="F2" s="1941"/>
      <c r="G2" s="1941"/>
      <c r="H2" s="1941"/>
      <c r="I2" s="1941"/>
      <c r="J2" s="1941"/>
      <c r="K2" s="1941"/>
      <c r="L2" s="1941"/>
    </row>
    <row r="3" spans="1:14" ht="27" customHeight="1">
      <c r="D3" s="94"/>
      <c r="E3" s="94"/>
      <c r="F3" s="95"/>
      <c r="G3" s="95"/>
      <c r="I3" s="423" t="s">
        <v>108</v>
      </c>
      <c r="J3" s="328" t="s">
        <v>109</v>
      </c>
      <c r="K3" s="423" t="s">
        <v>44</v>
      </c>
    </row>
    <row r="4" spans="1:14" ht="15" customHeight="1">
      <c r="D4" s="94"/>
      <c r="E4" s="94"/>
      <c r="F4" s="95"/>
      <c r="G4" s="95"/>
      <c r="I4" s="860" t="s">
        <v>110</v>
      </c>
      <c r="J4" s="861">
        <v>992613546.86000001</v>
      </c>
      <c r="K4" s="862">
        <f>+J4/$J$26</f>
        <v>0.34991012571076768</v>
      </c>
      <c r="M4" s="165"/>
    </row>
    <row r="5" spans="1:14" ht="15" customHeight="1">
      <c r="D5" s="94"/>
      <c r="E5" s="94"/>
      <c r="F5" s="95"/>
      <c r="G5" s="95"/>
      <c r="I5" s="860" t="s">
        <v>445</v>
      </c>
      <c r="J5" s="863">
        <v>446303111.13</v>
      </c>
      <c r="K5" s="864">
        <f t="shared" ref="K5:K25" si="0">+J5/$J$26</f>
        <v>0.15732807416805381</v>
      </c>
    </row>
    <row r="6" spans="1:14" ht="15" customHeight="1">
      <c r="D6" s="20"/>
      <c r="E6" s="20"/>
      <c r="I6" s="860" t="s">
        <v>113</v>
      </c>
      <c r="J6" s="863">
        <v>409608788.61000001</v>
      </c>
      <c r="K6" s="864">
        <f t="shared" si="0"/>
        <v>0.14439281346517363</v>
      </c>
      <c r="M6" s="244"/>
    </row>
    <row r="7" spans="1:14" ht="15" customHeight="1">
      <c r="D7" s="94"/>
      <c r="E7" s="94"/>
      <c r="I7" s="860" t="s">
        <v>112</v>
      </c>
      <c r="J7" s="863">
        <v>339665005.64999998</v>
      </c>
      <c r="K7" s="864">
        <f t="shared" si="0"/>
        <v>0.11973665401052928</v>
      </c>
      <c r="M7" s="244"/>
    </row>
    <row r="8" spans="1:14" ht="15" customHeight="1">
      <c r="D8" s="65"/>
      <c r="E8" s="20"/>
      <c r="F8" s="18"/>
      <c r="I8" s="860" t="s">
        <v>118</v>
      </c>
      <c r="J8" s="863">
        <v>117806787.75</v>
      </c>
      <c r="K8" s="864">
        <f t="shared" si="0"/>
        <v>4.1528536500014361E-2</v>
      </c>
    </row>
    <row r="9" spans="1:14" ht="15" customHeight="1">
      <c r="D9" s="94"/>
      <c r="E9" s="20"/>
      <c r="G9" s="94"/>
      <c r="I9" s="860" t="s">
        <v>114</v>
      </c>
      <c r="J9" s="863">
        <v>109029930.39</v>
      </c>
      <c r="K9" s="864">
        <f t="shared" si="0"/>
        <v>3.8434571812651266E-2</v>
      </c>
    </row>
    <row r="10" spans="1:14" ht="15" customHeight="1">
      <c r="D10" s="94"/>
      <c r="E10" s="20"/>
      <c r="F10" s="18"/>
      <c r="G10" s="156"/>
      <c r="I10" s="860" t="s">
        <v>111</v>
      </c>
      <c r="J10" s="863">
        <v>66951608.369999997</v>
      </c>
      <c r="K10" s="864">
        <f t="shared" si="0"/>
        <v>2.3601376160332595E-2</v>
      </c>
      <c r="M10" s="95"/>
    </row>
    <row r="11" spans="1:14" ht="15" customHeight="1">
      <c r="D11" s="94"/>
      <c r="E11" s="20"/>
      <c r="G11" s="157"/>
      <c r="I11" s="860" t="s">
        <v>117</v>
      </c>
      <c r="J11" s="863">
        <v>48996392.100000001</v>
      </c>
      <c r="K11" s="864">
        <f t="shared" si="0"/>
        <v>1.7271911886875681E-2</v>
      </c>
      <c r="M11" s="95"/>
    </row>
    <row r="12" spans="1:14" ht="15" customHeight="1">
      <c r="D12" s="94"/>
      <c r="E12" s="20"/>
      <c r="I12" s="860" t="s">
        <v>201</v>
      </c>
      <c r="J12" s="863">
        <v>44156390.130000003</v>
      </c>
      <c r="K12" s="864">
        <f t="shared" si="0"/>
        <v>1.5565743657436914E-2</v>
      </c>
      <c r="M12" s="95"/>
    </row>
    <row r="13" spans="1:14" ht="15" customHeight="1">
      <c r="D13" s="94"/>
      <c r="E13" s="20"/>
      <c r="I13" s="860" t="s">
        <v>162</v>
      </c>
      <c r="J13" s="863">
        <v>44608879.469999999</v>
      </c>
      <c r="K13" s="864">
        <f t="shared" si="0"/>
        <v>1.5725252463601243E-2</v>
      </c>
      <c r="M13" s="95"/>
    </row>
    <row r="14" spans="1:14" ht="15" customHeight="1">
      <c r="D14" s="94"/>
      <c r="E14" s="20"/>
      <c r="I14" s="860" t="s">
        <v>120</v>
      </c>
      <c r="J14" s="863">
        <v>41851642.649999999</v>
      </c>
      <c r="K14" s="864">
        <f t="shared" si="0"/>
        <v>1.4753288011420911E-2</v>
      </c>
      <c r="M14" s="95"/>
    </row>
    <row r="15" spans="1:14" ht="15" customHeight="1">
      <c r="D15" s="94"/>
      <c r="E15" s="20"/>
      <c r="I15" s="860" t="s">
        <v>444</v>
      </c>
      <c r="J15" s="863">
        <v>30120584.190000001</v>
      </c>
      <c r="K15" s="864">
        <f t="shared" si="0"/>
        <v>1.0617926214834515E-2</v>
      </c>
      <c r="M15" s="92"/>
      <c r="N15" s="165"/>
    </row>
    <row r="16" spans="1:14" ht="15" customHeight="1">
      <c r="D16" s="94"/>
      <c r="E16" s="20"/>
      <c r="F16" s="95"/>
      <c r="G16" s="95"/>
      <c r="I16" s="860" t="s">
        <v>221</v>
      </c>
      <c r="J16" s="863">
        <v>29140616.82</v>
      </c>
      <c r="K16" s="864">
        <f t="shared" si="0"/>
        <v>1.0272474042925446E-2</v>
      </c>
      <c r="M16" s="92"/>
    </row>
    <row r="17" spans="1:13" ht="15" customHeight="1">
      <c r="D17" s="94"/>
      <c r="E17" s="20"/>
      <c r="F17" s="95"/>
      <c r="G17" s="95"/>
      <c r="I17" s="860" t="s">
        <v>203</v>
      </c>
      <c r="J17" s="863">
        <v>22838959.989999998</v>
      </c>
      <c r="K17" s="864">
        <f t="shared" si="0"/>
        <v>8.0510520801216102E-3</v>
      </c>
      <c r="M17" s="92"/>
    </row>
    <row r="18" spans="1:13" ht="15" customHeight="1">
      <c r="D18" s="94"/>
      <c r="E18" s="20"/>
      <c r="F18" s="95"/>
      <c r="G18" s="95"/>
      <c r="I18" s="860" t="s">
        <v>102</v>
      </c>
      <c r="J18" s="863">
        <v>21887790.489999998</v>
      </c>
      <c r="K18" s="864">
        <f t="shared" si="0"/>
        <v>7.7157515592188976E-3</v>
      </c>
    </row>
    <row r="19" spans="1:13" ht="15" customHeight="1">
      <c r="D19" s="94"/>
      <c r="E19" s="20"/>
      <c r="F19" s="95"/>
      <c r="G19" s="95"/>
      <c r="I19" s="860" t="s">
        <v>121</v>
      </c>
      <c r="J19" s="863">
        <v>19445835.600000001</v>
      </c>
      <c r="K19" s="864">
        <f t="shared" si="0"/>
        <v>6.8549283866529906E-3</v>
      </c>
    </row>
    <row r="20" spans="1:13" ht="15" customHeight="1">
      <c r="D20" s="94"/>
      <c r="E20" s="20"/>
      <c r="F20" s="95"/>
      <c r="G20" s="95"/>
      <c r="I20" s="860" t="s">
        <v>119</v>
      </c>
      <c r="J20" s="863">
        <v>19404477.149999999</v>
      </c>
      <c r="K20" s="864">
        <f t="shared" si="0"/>
        <v>6.8403489559324621E-3</v>
      </c>
    </row>
    <row r="21" spans="1:13" ht="15" customHeight="1">
      <c r="D21" s="94"/>
      <c r="E21" s="20"/>
      <c r="F21" s="95"/>
      <c r="G21" s="95"/>
      <c r="I21" s="860" t="s">
        <v>116</v>
      </c>
      <c r="J21" s="863">
        <v>17628422.91</v>
      </c>
      <c r="K21" s="864">
        <f t="shared" si="0"/>
        <v>6.2142650541426418E-3</v>
      </c>
    </row>
    <row r="22" spans="1:13" ht="15" customHeight="1">
      <c r="D22" s="94"/>
      <c r="E22" s="20"/>
      <c r="F22" s="95"/>
      <c r="G22" s="95"/>
      <c r="I22" s="860" t="s">
        <v>202</v>
      </c>
      <c r="J22" s="863">
        <v>6940204.3499999996</v>
      </c>
      <c r="K22" s="864">
        <f t="shared" si="0"/>
        <v>2.4465188735827612E-3</v>
      </c>
    </row>
    <row r="23" spans="1:13" ht="15" customHeight="1">
      <c r="D23" s="94"/>
      <c r="E23" s="20"/>
      <c r="F23" s="95"/>
      <c r="G23" s="95"/>
      <c r="I23" s="860" t="s">
        <v>122</v>
      </c>
      <c r="J23" s="863">
        <v>3196216.65</v>
      </c>
      <c r="K23" s="864">
        <f t="shared" si="0"/>
        <v>1.1267109675645887E-3</v>
      </c>
    </row>
    <row r="24" spans="1:13" ht="15" customHeight="1">
      <c r="D24" s="94"/>
      <c r="E24" s="20"/>
      <c r="F24" s="95"/>
      <c r="G24" s="95"/>
      <c r="I24" s="860" t="s">
        <v>123</v>
      </c>
      <c r="J24" s="863">
        <v>2585703.1800000002</v>
      </c>
      <c r="K24" s="864">
        <f t="shared" si="0"/>
        <v>9.1149645058404721E-4</v>
      </c>
    </row>
    <row r="25" spans="1:13" ht="15" customHeight="1">
      <c r="D25" s="94"/>
      <c r="E25" s="20"/>
      <c r="F25" s="95"/>
      <c r="G25" s="95"/>
      <c r="I25" s="860" t="s">
        <v>124</v>
      </c>
      <c r="J25" s="863">
        <v>1986246.39</v>
      </c>
      <c r="K25" s="864">
        <f t="shared" si="0"/>
        <v>7.0017956758299579E-4</v>
      </c>
    </row>
    <row r="26" spans="1:13" s="1169" customFormat="1" ht="20.25" customHeight="1">
      <c r="D26" s="172"/>
      <c r="E26" s="210"/>
      <c r="F26" s="1773"/>
      <c r="G26" s="1773"/>
      <c r="I26" s="423" t="s">
        <v>23</v>
      </c>
      <c r="J26" s="1774">
        <f>SUM(J4:J25)</f>
        <v>2836767140.829999</v>
      </c>
      <c r="K26" s="1775">
        <f>SUM(K4:K25)</f>
        <v>1.0000000000000002</v>
      </c>
    </row>
    <row r="27" spans="1:13">
      <c r="D27" s="94"/>
      <c r="E27" s="20"/>
      <c r="F27" s="95"/>
      <c r="G27" s="95"/>
      <c r="I27" s="94"/>
      <c r="J27" s="94"/>
      <c r="K27" s="94"/>
      <c r="L27" s="94"/>
      <c r="M27" s="94"/>
    </row>
    <row r="28" spans="1:13" s="94" customFormat="1" ht="15" customHeight="1">
      <c r="A28" s="31"/>
      <c r="B28" s="77"/>
      <c r="C28" s="31"/>
      <c r="D28" s="32"/>
      <c r="E28" s="33"/>
      <c r="F28" s="95"/>
      <c r="G28" s="95"/>
      <c r="H28" s="95"/>
      <c r="I28" s="77"/>
      <c r="J28" s="77"/>
      <c r="K28" s="77"/>
      <c r="L28" s="77"/>
      <c r="M28" s="77"/>
    </row>
    <row r="37" spans="9:11" ht="15" customHeight="1">
      <c r="I37" s="94"/>
      <c r="J37" s="94"/>
      <c r="K37" s="94"/>
    </row>
    <row r="47" spans="9:11" ht="15" customHeight="1">
      <c r="I47" s="95"/>
      <c r="J47" s="95"/>
      <c r="K47" s="95"/>
    </row>
    <row r="61" spans="1:1" ht="15" customHeight="1">
      <c r="A61" s="50" t="s">
        <v>33</v>
      </c>
    </row>
  </sheetData>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49"/>
  <sheetViews>
    <sheetView showGridLines="0" view="pageBreakPreview" zoomScale="70" zoomScaleNormal="85" zoomScaleSheetLayoutView="70" workbookViewId="0">
      <selection activeCell="L44" sqref="L44"/>
    </sheetView>
  </sheetViews>
  <sheetFormatPr baseColWidth="10" defaultColWidth="11.42578125" defaultRowHeight="15"/>
  <cols>
    <col min="1" max="1" width="62.85546875" style="76" customWidth="1"/>
    <col min="2" max="2" width="23.5703125" style="76" customWidth="1"/>
    <col min="3" max="3" width="15.85546875" style="76" customWidth="1"/>
    <col min="4" max="5" width="12" style="76" customWidth="1"/>
    <col min="6" max="6" width="12.42578125" style="76" customWidth="1"/>
    <col min="7" max="8" width="12.28515625" style="76" customWidth="1"/>
    <col min="9" max="10" width="10.7109375" style="76" customWidth="1"/>
    <col min="11" max="16384" width="11.42578125" style="76"/>
  </cols>
  <sheetData>
    <row r="1" spans="1:12" ht="79.5" customHeight="1">
      <c r="A1" s="1942"/>
      <c r="B1" s="1942"/>
      <c r="C1" s="1942"/>
      <c r="D1" s="1942"/>
      <c r="E1" s="1942"/>
      <c r="F1" s="1942"/>
      <c r="G1" s="1942"/>
      <c r="H1" s="1942"/>
      <c r="I1" s="1942"/>
      <c r="J1" s="1942"/>
      <c r="K1" s="77"/>
      <c r="L1" s="77"/>
    </row>
    <row r="2" spans="1:12" ht="9.75" customHeight="1">
      <c r="K2" s="77"/>
      <c r="L2" s="77"/>
    </row>
    <row r="3" spans="1:12" ht="18.75">
      <c r="A3" s="577" t="s">
        <v>729</v>
      </c>
      <c r="B3" s="1203" t="s">
        <v>212</v>
      </c>
      <c r="C3" s="1204" t="s">
        <v>44</v>
      </c>
      <c r="I3" s="77"/>
      <c r="J3" s="119"/>
    </row>
    <row r="4" spans="1:12" ht="18.75">
      <c r="A4" s="859" t="s">
        <v>624</v>
      </c>
      <c r="B4" s="1466">
        <v>3190533299.5500002</v>
      </c>
      <c r="C4" s="956">
        <f>+B4/$B$7</f>
        <v>0.52377010806455704</v>
      </c>
      <c r="I4" s="77"/>
      <c r="J4" s="119"/>
    </row>
    <row r="5" spans="1:12" ht="18.75">
      <c r="A5" s="859" t="s">
        <v>625</v>
      </c>
      <c r="B5" s="1466">
        <v>2003760000</v>
      </c>
      <c r="C5" s="956">
        <f>+B5/$B$7</f>
        <v>0.32894487949192125</v>
      </c>
      <c r="D5" s="119"/>
      <c r="I5" s="77"/>
      <c r="J5" s="119"/>
    </row>
    <row r="6" spans="1:12" ht="18.75">
      <c r="A6" s="859" t="s">
        <v>626</v>
      </c>
      <c r="B6" s="1466">
        <v>897183190.65999997</v>
      </c>
      <c r="C6" s="956">
        <f>+B6/$B$7</f>
        <v>0.14728501244352174</v>
      </c>
      <c r="D6" s="119"/>
      <c r="E6" s="119"/>
      <c r="I6" s="119"/>
      <c r="J6" s="119"/>
    </row>
    <row r="7" spans="1:12" ht="18.75">
      <c r="A7" s="578" t="s">
        <v>23</v>
      </c>
      <c r="B7" s="1205">
        <f>SUM(B4:B6)</f>
        <v>6091476490.21</v>
      </c>
      <c r="C7" s="1206">
        <f>SUM(C4:C6)</f>
        <v>1</v>
      </c>
      <c r="D7" s="119"/>
      <c r="E7" s="119"/>
      <c r="I7" s="119"/>
      <c r="J7" s="119"/>
    </row>
    <row r="8" spans="1:12">
      <c r="A8" s="1541" t="s">
        <v>927</v>
      </c>
      <c r="B8" s="119"/>
      <c r="C8" s="119"/>
      <c r="D8" s="119"/>
      <c r="E8" s="119"/>
      <c r="F8" s="119"/>
      <c r="G8" s="119"/>
      <c r="H8" s="119"/>
      <c r="I8" s="119"/>
      <c r="J8" s="119"/>
    </row>
    <row r="9" spans="1:12">
      <c r="B9" s="119"/>
      <c r="C9" s="119"/>
      <c r="D9" s="119"/>
      <c r="E9" s="119"/>
      <c r="F9" s="119"/>
      <c r="G9" s="119"/>
      <c r="H9" s="119"/>
      <c r="I9" s="119"/>
      <c r="J9" s="119"/>
    </row>
    <row r="10" spans="1:12">
      <c r="B10" s="119"/>
      <c r="C10" s="119"/>
      <c r="D10" s="119"/>
      <c r="E10" s="119"/>
      <c r="F10" s="119"/>
      <c r="G10" s="119"/>
      <c r="H10" s="119"/>
      <c r="I10" s="119"/>
      <c r="J10" s="119"/>
    </row>
    <row r="11" spans="1:12">
      <c r="B11" s="119"/>
      <c r="C11" s="119"/>
      <c r="D11" s="119"/>
      <c r="E11" s="119"/>
      <c r="F11" s="119"/>
      <c r="G11" s="119"/>
      <c r="H11" s="119"/>
      <c r="I11" s="119"/>
      <c r="J11" s="119"/>
    </row>
    <row r="12" spans="1:12">
      <c r="B12" s="119"/>
      <c r="C12" s="119"/>
      <c r="D12" s="119"/>
      <c r="E12" s="119"/>
      <c r="F12" s="119"/>
      <c r="G12" s="119"/>
      <c r="H12" s="119"/>
      <c r="I12" s="119"/>
      <c r="J12" s="119"/>
    </row>
    <row r="13" spans="1:12">
      <c r="B13" s="119"/>
      <c r="C13" s="119"/>
      <c r="D13" s="119"/>
      <c r="E13" s="119"/>
      <c r="F13" s="119"/>
      <c r="G13" s="119"/>
      <c r="H13" s="119"/>
      <c r="I13" s="119"/>
      <c r="J13" s="119"/>
    </row>
    <row r="14" spans="1:12">
      <c r="B14" s="119"/>
      <c r="C14" s="119"/>
      <c r="D14" s="119"/>
      <c r="E14" s="119"/>
      <c r="F14" s="119"/>
      <c r="G14" s="119"/>
      <c r="H14" s="119"/>
      <c r="I14" s="119"/>
      <c r="J14" s="119"/>
    </row>
    <row r="15" spans="1:12">
      <c r="B15" s="119"/>
      <c r="C15" s="119"/>
      <c r="D15" s="119"/>
      <c r="E15" s="119"/>
      <c r="F15" s="119"/>
      <c r="G15" s="119"/>
      <c r="H15" s="119"/>
      <c r="I15" s="119"/>
      <c r="J15" s="119"/>
    </row>
    <row r="16" spans="1:12">
      <c r="B16" s="119"/>
      <c r="C16" s="119"/>
      <c r="D16" s="119"/>
      <c r="E16" s="119"/>
      <c r="F16" s="119"/>
      <c r="G16" s="119"/>
      <c r="H16" s="119"/>
      <c r="I16" s="119"/>
      <c r="J16" s="119"/>
    </row>
    <row r="17" spans="2:13">
      <c r="B17" s="119"/>
      <c r="C17" s="119"/>
      <c r="D17" s="119"/>
      <c r="E17" s="119"/>
      <c r="F17" s="119"/>
      <c r="G17" s="119"/>
      <c r="H17" s="119"/>
      <c r="I17" s="119"/>
      <c r="J17" s="119"/>
    </row>
    <row r="18" spans="2:13">
      <c r="B18" s="119"/>
      <c r="C18" s="119"/>
      <c r="D18" s="119"/>
      <c r="E18" s="119"/>
      <c r="F18" s="119"/>
      <c r="G18" s="119"/>
      <c r="H18" s="119"/>
      <c r="I18" s="119"/>
      <c r="J18" s="119"/>
    </row>
    <row r="19" spans="2:13">
      <c r="B19" s="119"/>
      <c r="C19" s="119"/>
      <c r="D19" s="119"/>
      <c r="E19" s="119"/>
      <c r="F19" s="119"/>
      <c r="G19" s="119"/>
      <c r="H19" s="119"/>
      <c r="I19" s="119"/>
      <c r="J19" s="119"/>
    </row>
    <row r="20" spans="2:13">
      <c r="B20" s="119"/>
      <c r="C20" s="119"/>
      <c r="D20" s="119"/>
      <c r="E20" s="119"/>
      <c r="F20" s="119"/>
      <c r="G20" s="119"/>
      <c r="H20" s="119"/>
      <c r="I20" s="119"/>
      <c r="J20" s="119"/>
    </row>
    <row r="21" spans="2:13">
      <c r="B21" s="119"/>
      <c r="C21" s="119"/>
      <c r="D21" s="119"/>
      <c r="E21" s="119"/>
      <c r="F21" s="119"/>
      <c r="G21" s="119"/>
      <c r="H21" s="119"/>
      <c r="I21" s="119"/>
      <c r="J21" s="119"/>
    </row>
    <row r="22" spans="2:13">
      <c r="E22" s="119"/>
      <c r="F22" s="119"/>
      <c r="G22" s="119"/>
      <c r="H22" s="119"/>
      <c r="I22" s="119"/>
      <c r="J22" s="119"/>
      <c r="K22" s="119"/>
      <c r="L22" s="119"/>
      <c r="M22" s="119"/>
    </row>
    <row r="23" spans="2:13">
      <c r="E23" s="119"/>
      <c r="F23" s="119"/>
      <c r="G23" s="119"/>
      <c r="H23" s="119"/>
      <c r="I23" s="119"/>
      <c r="J23" s="119"/>
      <c r="K23" s="119"/>
      <c r="L23" s="119"/>
      <c r="M23" s="119"/>
    </row>
    <row r="24" spans="2:13">
      <c r="E24" s="119"/>
      <c r="F24" s="119"/>
      <c r="G24" s="119"/>
      <c r="H24" s="119"/>
      <c r="I24" s="119"/>
      <c r="J24" s="119"/>
      <c r="K24" s="119"/>
      <c r="L24" s="119"/>
      <c r="M24" s="119"/>
    </row>
    <row r="25" spans="2:13">
      <c r="E25" s="119"/>
      <c r="F25" s="119"/>
      <c r="G25" s="119"/>
      <c r="H25" s="119"/>
      <c r="I25" s="119"/>
      <c r="J25" s="119"/>
      <c r="K25" s="119"/>
      <c r="L25" s="119"/>
      <c r="M25" s="119"/>
    </row>
    <row r="26" spans="2:13">
      <c r="E26" s="119"/>
      <c r="F26" s="119"/>
      <c r="G26" s="119"/>
      <c r="H26" s="119"/>
      <c r="I26" s="119"/>
      <c r="J26" s="119"/>
      <c r="K26" s="119"/>
      <c r="L26" s="119"/>
      <c r="M26" s="119"/>
    </row>
    <row r="27" spans="2:13">
      <c r="E27" s="119"/>
      <c r="F27" s="119"/>
      <c r="G27" s="119"/>
      <c r="H27" s="119"/>
      <c r="I27" s="119"/>
      <c r="J27" s="119"/>
      <c r="K27" s="119"/>
      <c r="L27" s="119"/>
      <c r="M27" s="119"/>
    </row>
    <row r="28" spans="2:13">
      <c r="B28" s="119"/>
      <c r="C28" s="119"/>
      <c r="D28" s="119"/>
      <c r="E28" s="119"/>
      <c r="F28" s="119"/>
      <c r="G28" s="119"/>
      <c r="H28" s="119"/>
      <c r="I28" s="119"/>
      <c r="J28" s="119"/>
    </row>
    <row r="29" spans="2:13" ht="28.5">
      <c r="B29" s="119"/>
      <c r="C29" s="119"/>
      <c r="D29" s="120"/>
      <c r="E29" s="119"/>
      <c r="F29" s="119"/>
      <c r="G29" s="119"/>
      <c r="H29" s="119"/>
      <c r="I29" s="119"/>
      <c r="J29" s="119"/>
    </row>
    <row r="30" spans="2:13">
      <c r="B30" s="119"/>
      <c r="C30" s="119"/>
      <c r="D30" s="119"/>
      <c r="E30" s="119"/>
      <c r="F30" s="119"/>
      <c r="G30" s="119"/>
      <c r="H30" s="119"/>
      <c r="I30" s="119"/>
      <c r="J30" s="119"/>
    </row>
    <row r="31" spans="2:13">
      <c r="B31" s="119"/>
      <c r="F31" s="119"/>
      <c r="G31" s="119"/>
      <c r="H31" s="119"/>
      <c r="I31" s="119"/>
      <c r="J31" s="119"/>
    </row>
    <row r="32" spans="2:13">
      <c r="B32" s="119"/>
      <c r="F32" s="119"/>
      <c r="G32" s="119"/>
      <c r="H32" s="119"/>
      <c r="I32" s="119"/>
      <c r="J32" s="119"/>
    </row>
    <row r="33" spans="2:10">
      <c r="B33" s="119"/>
      <c r="F33" s="119"/>
      <c r="G33" s="119"/>
      <c r="H33" s="119"/>
      <c r="I33" s="119"/>
      <c r="J33" s="119"/>
    </row>
    <row r="34" spans="2:10">
      <c r="B34" s="119"/>
      <c r="F34" s="119"/>
      <c r="G34" s="119"/>
      <c r="H34" s="119"/>
      <c r="I34" s="119"/>
      <c r="J34" s="119"/>
    </row>
    <row r="35" spans="2:10">
      <c r="B35" s="119"/>
      <c r="F35" s="119"/>
      <c r="G35" s="119"/>
      <c r="H35" s="119"/>
      <c r="I35" s="119"/>
      <c r="J35" s="119"/>
    </row>
    <row r="36" spans="2:10">
      <c r="B36" s="119"/>
      <c r="F36" s="119"/>
      <c r="G36" s="119"/>
      <c r="H36" s="119"/>
      <c r="I36" s="119"/>
      <c r="J36" s="119"/>
    </row>
    <row r="37" spans="2:10">
      <c r="B37" s="119"/>
      <c r="F37" s="119"/>
      <c r="G37" s="119"/>
      <c r="H37" s="119"/>
      <c r="I37" s="119"/>
      <c r="J37" s="119"/>
    </row>
    <row r="38" spans="2:10">
      <c r="B38" s="119"/>
      <c r="C38" s="119"/>
      <c r="D38" s="119"/>
      <c r="E38" s="119"/>
    </row>
    <row r="39" spans="2:10">
      <c r="B39" s="119"/>
      <c r="C39" s="119"/>
      <c r="D39" s="119"/>
      <c r="E39" s="119"/>
    </row>
    <row r="40" spans="2:10">
      <c r="B40" s="119"/>
      <c r="C40" s="119"/>
      <c r="D40" s="119"/>
      <c r="E40" s="119"/>
    </row>
    <row r="41" spans="2:10">
      <c r="B41" s="119"/>
      <c r="C41" s="119"/>
      <c r="D41" s="119"/>
      <c r="E41" s="119"/>
    </row>
    <row r="42" spans="2:10">
      <c r="B42" s="119"/>
      <c r="C42" s="119"/>
      <c r="D42" s="119"/>
      <c r="E42" s="119"/>
    </row>
    <row r="43" spans="2:10">
      <c r="B43" s="119"/>
      <c r="C43" s="119"/>
      <c r="D43" s="119"/>
      <c r="E43" s="119"/>
    </row>
    <row r="44" spans="2:10">
      <c r="B44" s="119"/>
      <c r="C44" s="119"/>
      <c r="D44" s="119"/>
      <c r="E44" s="119"/>
    </row>
    <row r="45" spans="2:10">
      <c r="B45" s="119"/>
      <c r="C45" s="119"/>
      <c r="D45" s="119"/>
      <c r="E45" s="119"/>
    </row>
    <row r="46" spans="2:10">
      <c r="B46" s="119"/>
      <c r="C46" s="119"/>
      <c r="D46" s="119"/>
      <c r="E46" s="119"/>
    </row>
    <row r="47" spans="2:10">
      <c r="B47" s="119"/>
      <c r="C47" s="119"/>
      <c r="D47" s="119"/>
      <c r="E47" s="119"/>
    </row>
    <row r="48" spans="2:10">
      <c r="B48" s="119"/>
      <c r="C48" s="119"/>
      <c r="D48" s="119"/>
      <c r="E48" s="119"/>
    </row>
    <row r="49" spans="2:5">
      <c r="B49" s="119"/>
      <c r="C49" s="119"/>
      <c r="D49" s="119"/>
      <c r="E49" s="119"/>
    </row>
  </sheetData>
  <mergeCells count="1">
    <mergeCell ref="A1:J1"/>
  </mergeCells>
  <pageMargins left="0.70866141732283472" right="0.70866141732283472" top="0.74803149606299213" bottom="0.74803149606299213" header="0.31496062992125984" footer="0.31496062992125984"/>
  <pageSetup scale="6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5:A9"/>
  <sheetViews>
    <sheetView showGridLines="0" view="pageBreakPreview" zoomScale="85" zoomScaleNormal="100" zoomScaleSheetLayoutView="85" workbookViewId="0">
      <selection activeCell="O13" sqref="O13"/>
    </sheetView>
  </sheetViews>
  <sheetFormatPr baseColWidth="10" defaultColWidth="11.42578125" defaultRowHeight="15"/>
  <cols>
    <col min="1" max="6" width="11.42578125" style="77"/>
    <col min="7" max="7" width="13.42578125" style="77" customWidth="1"/>
    <col min="8" max="10" width="11.42578125" style="77"/>
    <col min="11" max="12" width="15.5703125" style="77" customWidth="1"/>
    <col min="13" max="13" width="13.140625" style="77" customWidth="1"/>
    <col min="14" max="16384" width="11.42578125" style="7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Q76"/>
  <sheetViews>
    <sheetView showGridLines="0" view="pageBreakPreview" zoomScale="70" zoomScaleNormal="85" zoomScaleSheetLayoutView="70" workbookViewId="0">
      <selection activeCell="F10" sqref="F10"/>
    </sheetView>
  </sheetViews>
  <sheetFormatPr baseColWidth="10" defaultColWidth="11.42578125" defaultRowHeight="15"/>
  <cols>
    <col min="1" max="1" width="29.5703125" style="76" customWidth="1"/>
    <col min="2" max="2" width="25.42578125" style="76" customWidth="1"/>
    <col min="3" max="3" width="18.85546875" style="76" customWidth="1"/>
    <col min="4" max="5" width="12" style="76" customWidth="1"/>
    <col min="6" max="6" width="14" style="76" customWidth="1"/>
    <col min="7" max="7" width="11.7109375" style="76" customWidth="1"/>
    <col min="8" max="8" width="16.5703125" style="76" customWidth="1"/>
    <col min="9" max="9" width="14.7109375" style="76" customWidth="1"/>
    <col min="10" max="10" width="19.28515625" style="76" customWidth="1"/>
    <col min="11" max="11" width="9.85546875" style="76" customWidth="1"/>
    <col min="12" max="12" width="11.42578125" style="76"/>
    <col min="13" max="13" width="15.140625" style="76" bestFit="1" customWidth="1"/>
    <col min="14" max="16384" width="11.42578125" style="76"/>
  </cols>
  <sheetData>
    <row r="1" spans="1:16" ht="78" customHeight="1">
      <c r="A1" s="1943"/>
      <c r="B1" s="1943"/>
      <c r="C1" s="1943"/>
      <c r="D1" s="1943"/>
      <c r="E1" s="1943"/>
      <c r="F1" s="1943"/>
      <c r="G1" s="1943"/>
      <c r="H1" s="1943"/>
      <c r="I1" s="1943"/>
      <c r="J1" s="1943"/>
      <c r="K1" s="1943"/>
      <c r="L1"/>
      <c r="M1"/>
      <c r="N1"/>
      <c r="O1"/>
      <c r="P1"/>
    </row>
    <row r="2" spans="1:16" ht="18.75">
      <c r="A2" s="577" t="s">
        <v>181</v>
      </c>
      <c r="B2" s="1085" t="s">
        <v>212</v>
      </c>
      <c r="C2" s="577" t="s">
        <v>44</v>
      </c>
      <c r="F2"/>
      <c r="G2"/>
      <c r="H2"/>
      <c r="I2"/>
      <c r="J2" s="119"/>
      <c r="K2" s="119"/>
    </row>
    <row r="3" spans="1:16" ht="18.75">
      <c r="A3" s="579" t="s">
        <v>45</v>
      </c>
      <c r="B3" s="1086">
        <f>+'IV.2.6.INV_SFS x Entidad'!B7</f>
        <v>6091476490.21</v>
      </c>
      <c r="C3" s="1826">
        <f>+B3/$B$12</f>
        <v>0.87134538497622926</v>
      </c>
      <c r="F3" s="77"/>
      <c r="G3"/>
      <c r="H3"/>
      <c r="I3"/>
      <c r="J3" s="119"/>
      <c r="K3" s="119"/>
    </row>
    <row r="4" spans="1:16" ht="17.25" hidden="1" customHeight="1">
      <c r="A4" s="580" t="s">
        <v>213</v>
      </c>
      <c r="B4" s="1086"/>
      <c r="C4" s="1826"/>
      <c r="F4" s="77"/>
      <c r="G4" s="77"/>
      <c r="H4" s="77"/>
      <c r="I4" s="77"/>
      <c r="J4" s="119"/>
      <c r="K4" s="119"/>
    </row>
    <row r="5" spans="1:16" ht="18.75" hidden="1">
      <c r="A5" s="580" t="s">
        <v>214</v>
      </c>
      <c r="B5" s="1086"/>
      <c r="C5" s="1826"/>
      <c r="F5" s="77"/>
      <c r="G5" s="77"/>
      <c r="H5" s="77"/>
      <c r="I5" s="77"/>
      <c r="J5" s="119"/>
      <c r="K5" s="119"/>
    </row>
    <row r="6" spans="1:16" ht="18.75" hidden="1">
      <c r="A6" s="580" t="s">
        <v>450</v>
      </c>
      <c r="B6" s="1086"/>
      <c r="C6" s="1826"/>
      <c r="F6" s="77"/>
      <c r="G6" s="77"/>
      <c r="H6" s="77"/>
      <c r="I6" s="77"/>
      <c r="J6" s="119"/>
      <c r="K6" s="119"/>
    </row>
    <row r="7" spans="1:16" ht="18.75" hidden="1">
      <c r="A7" s="580" t="s">
        <v>215</v>
      </c>
      <c r="B7" s="1086"/>
      <c r="C7" s="1826"/>
      <c r="F7" s="77"/>
      <c r="G7" s="77"/>
      <c r="H7" s="77"/>
      <c r="I7" s="77"/>
      <c r="J7" s="119"/>
      <c r="K7" s="119"/>
    </row>
    <row r="8" spans="1:16" ht="18.75" hidden="1">
      <c r="A8" s="580" t="s">
        <v>216</v>
      </c>
      <c r="B8" s="1086"/>
      <c r="C8" s="1826"/>
      <c r="F8" s="77"/>
      <c r="G8" s="77"/>
      <c r="H8" s="77"/>
      <c r="I8" s="77"/>
      <c r="J8" s="119"/>
      <c r="K8" s="119"/>
    </row>
    <row r="9" spans="1:16" ht="18.75" hidden="1">
      <c r="A9" s="580" t="s">
        <v>217</v>
      </c>
      <c r="B9" s="1086"/>
      <c r="C9" s="1826"/>
      <c r="F9" s="77"/>
      <c r="G9" s="77"/>
      <c r="H9" s="77"/>
      <c r="I9" s="77"/>
      <c r="J9" s="119"/>
      <c r="K9" s="119"/>
    </row>
    <row r="10" spans="1:16" ht="18.75">
      <c r="A10" s="579" t="s">
        <v>107</v>
      </c>
      <c r="B10" s="1086">
        <v>778216421.92999995</v>
      </c>
      <c r="C10" s="1826">
        <f>+B10/$B$12</f>
        <v>0.11131870718884487</v>
      </c>
      <c r="F10"/>
      <c r="G10"/>
      <c r="H10"/>
      <c r="I10"/>
      <c r="J10" s="119"/>
      <c r="K10" s="119"/>
    </row>
    <row r="11" spans="1:16" ht="18" customHeight="1">
      <c r="A11" s="579" t="s">
        <v>468</v>
      </c>
      <c r="B11" s="1086">
        <v>121193360.09999999</v>
      </c>
      <c r="C11" s="1826">
        <f>+B11/$B$12</f>
        <v>1.7335907834925706E-2</v>
      </c>
      <c r="F11" s="77"/>
      <c r="G11" s="77"/>
      <c r="H11" s="77"/>
      <c r="I11" s="77"/>
      <c r="J11" s="119"/>
      <c r="K11" s="119"/>
    </row>
    <row r="12" spans="1:16" ht="18.75">
      <c r="A12" s="578" t="s">
        <v>23</v>
      </c>
      <c r="B12" s="1087">
        <f>+B10+B3+B11</f>
        <v>6990886272.2400007</v>
      </c>
      <c r="C12" s="1088">
        <f>SUM(C3:C11)</f>
        <v>0.99999999999999978</v>
      </c>
      <c r="F12"/>
      <c r="G12"/>
      <c r="H12"/>
      <c r="I12"/>
      <c r="J12" s="119"/>
      <c r="K12" s="121"/>
      <c r="M12" s="122"/>
    </row>
    <row r="13" spans="1:16">
      <c r="A13" s="119"/>
      <c r="B13" s="119"/>
      <c r="C13" s="119"/>
      <c r="D13" s="119"/>
      <c r="F13"/>
      <c r="G13"/>
      <c r="H13"/>
      <c r="I13"/>
      <c r="J13" s="119"/>
      <c r="K13" s="119"/>
    </row>
    <row r="14" spans="1:16">
      <c r="A14" s="119"/>
      <c r="B14" s="119"/>
      <c r="C14" s="119"/>
      <c r="D14" s="119"/>
      <c r="E14" s="119"/>
      <c r="F14"/>
      <c r="G14"/>
      <c r="H14"/>
      <c r="I14"/>
      <c r="J14" s="119"/>
      <c r="K14" s="119"/>
    </row>
    <row r="15" spans="1:16">
      <c r="B15" s="119"/>
      <c r="C15" s="119"/>
      <c r="D15" s="119"/>
      <c r="E15" s="119"/>
      <c r="F15"/>
      <c r="G15"/>
      <c r="H15"/>
      <c r="I15"/>
      <c r="J15" s="119"/>
      <c r="K15" s="119"/>
    </row>
    <row r="16" spans="1:16">
      <c r="B16" s="119"/>
      <c r="C16" s="119"/>
      <c r="D16" s="119"/>
      <c r="E16" s="119"/>
      <c r="F16"/>
      <c r="G16"/>
      <c r="H16"/>
      <c r="I16"/>
      <c r="J16" s="119"/>
      <c r="K16" s="119"/>
    </row>
    <row r="17" spans="2:17">
      <c r="B17" s="119"/>
      <c r="C17" s="119"/>
      <c r="D17" s="119"/>
      <c r="E17" s="119"/>
      <c r="F17"/>
      <c r="G17"/>
      <c r="H17"/>
      <c r="I17"/>
      <c r="J17" s="119"/>
      <c r="K17" s="119"/>
    </row>
    <row r="18" spans="2:17">
      <c r="B18" s="119"/>
      <c r="C18" s="119"/>
      <c r="D18" s="119"/>
      <c r="E18" s="119"/>
      <c r="F18"/>
      <c r="G18"/>
      <c r="H18"/>
      <c r="I18"/>
      <c r="J18" s="119"/>
      <c r="K18" s="119"/>
    </row>
    <row r="19" spans="2:17">
      <c r="B19" s="119"/>
      <c r="C19" s="119"/>
      <c r="D19" s="119"/>
      <c r="E19" s="119"/>
      <c r="F19"/>
      <c r="G19"/>
      <c r="H19"/>
      <c r="I19"/>
      <c r="J19" s="119"/>
      <c r="K19" s="119"/>
    </row>
    <row r="20" spans="2:17">
      <c r="B20" s="119"/>
      <c r="C20" s="119"/>
      <c r="D20" s="119"/>
      <c r="E20" s="119"/>
      <c r="F20" s="119"/>
      <c r="G20" s="119"/>
      <c r="H20" s="119"/>
      <c r="I20" s="119"/>
      <c r="J20" s="119"/>
      <c r="K20" s="119"/>
    </row>
    <row r="21" spans="2:17">
      <c r="B21" s="119"/>
      <c r="C21" s="119"/>
      <c r="D21" s="119"/>
      <c r="E21" s="119"/>
      <c r="F21" s="119"/>
      <c r="G21" s="119"/>
      <c r="H21" s="119"/>
      <c r="I21" s="119"/>
      <c r="J21" s="119"/>
      <c r="K21" s="119"/>
    </row>
    <row r="22" spans="2:17">
      <c r="B22" s="119"/>
      <c r="C22" s="119"/>
      <c r="D22" s="119"/>
      <c r="E22" s="119"/>
      <c r="F22" s="119"/>
      <c r="G22" s="119"/>
      <c r="H22" s="119"/>
      <c r="I22" s="119"/>
      <c r="J22" s="119"/>
      <c r="K22" s="119"/>
    </row>
    <row r="23" spans="2:17">
      <c r="B23" s="119"/>
      <c r="C23" s="119"/>
      <c r="D23" s="119"/>
      <c r="E23" s="119"/>
      <c r="F23" s="119"/>
      <c r="G23" s="119"/>
      <c r="H23" s="119"/>
      <c r="I23" s="119"/>
      <c r="J23" s="119"/>
      <c r="K23" s="119"/>
    </row>
    <row r="24" spans="2:17">
      <c r="B24" s="119"/>
      <c r="C24" s="119"/>
      <c r="D24" s="119"/>
      <c r="E24" s="119"/>
      <c r="F24" s="119"/>
      <c r="G24" s="119"/>
      <c r="H24" s="119"/>
      <c r="I24" s="119"/>
      <c r="J24" s="119"/>
      <c r="K24" s="119"/>
    </row>
    <row r="25" spans="2:17">
      <c r="B25" s="119"/>
      <c r="C25" s="119"/>
      <c r="D25" s="119"/>
      <c r="E25" s="119"/>
      <c r="F25" s="119"/>
      <c r="G25" s="119"/>
      <c r="H25" s="119"/>
      <c r="I25" s="119"/>
      <c r="J25" s="119"/>
      <c r="K25" s="119"/>
    </row>
    <row r="26" spans="2:17">
      <c r="B26" s="119"/>
      <c r="C26" s="119"/>
      <c r="D26" s="119"/>
      <c r="E26" s="119"/>
      <c r="F26" s="119"/>
      <c r="G26" s="119"/>
      <c r="H26" s="119"/>
      <c r="I26" s="119"/>
      <c r="J26" s="119"/>
      <c r="K26" s="119"/>
    </row>
    <row r="27" spans="2:17">
      <c r="B27" s="119"/>
      <c r="C27" s="119"/>
      <c r="D27" s="119"/>
      <c r="E27" s="119"/>
      <c r="F27" s="119"/>
      <c r="G27" s="119"/>
      <c r="H27" s="119"/>
      <c r="I27" s="119"/>
      <c r="J27" s="119"/>
      <c r="K27" s="119"/>
    </row>
    <row r="28" spans="2:17">
      <c r="B28" s="119"/>
      <c r="C28" s="119"/>
      <c r="D28" s="119"/>
      <c r="E28" s="119"/>
      <c r="F28" s="119"/>
      <c r="G28" s="119"/>
      <c r="H28" s="119"/>
      <c r="I28" s="119"/>
      <c r="J28" s="119"/>
      <c r="K28" s="119"/>
    </row>
    <row r="29" spans="2:17">
      <c r="B29" s="119"/>
      <c r="C29" s="119"/>
      <c r="D29" s="119"/>
      <c r="E29" s="119"/>
      <c r="F29" s="119"/>
      <c r="G29" s="119"/>
      <c r="H29" s="119"/>
      <c r="I29" s="119"/>
      <c r="J29" s="119"/>
      <c r="K29" s="119"/>
    </row>
    <row r="30" spans="2:17">
      <c r="B30" s="119"/>
      <c r="C30" s="119"/>
      <c r="D30" s="119"/>
      <c r="E30" s="119"/>
      <c r="F30" s="119"/>
      <c r="G30" s="119"/>
      <c r="H30" s="119"/>
      <c r="I30" s="119"/>
      <c r="J30" s="119"/>
      <c r="K30" s="119"/>
    </row>
    <row r="31" spans="2:17">
      <c r="B31" s="119"/>
      <c r="C31" s="119"/>
      <c r="D31" s="119"/>
      <c r="E31" s="119"/>
      <c r="F31" s="119"/>
      <c r="G31" s="119"/>
      <c r="H31" s="119"/>
      <c r="I31" s="119"/>
      <c r="J31" s="119"/>
      <c r="K31" s="119"/>
    </row>
    <row r="32" spans="2:17">
      <c r="E32" s="119"/>
      <c r="F32" s="119"/>
      <c r="G32" s="119"/>
      <c r="H32" s="119"/>
      <c r="I32" s="119"/>
      <c r="J32" s="119"/>
      <c r="K32" s="119"/>
      <c r="N32" s="119"/>
      <c r="O32" s="119"/>
      <c r="P32" s="119"/>
      <c r="Q32" s="119"/>
    </row>
    <row r="33" spans="2:17">
      <c r="E33" s="119"/>
      <c r="F33" s="119"/>
      <c r="G33" s="119"/>
      <c r="H33" s="119"/>
      <c r="I33" s="119"/>
      <c r="J33" s="119"/>
      <c r="K33" s="119"/>
      <c r="N33" s="119"/>
      <c r="O33" s="119"/>
      <c r="P33" s="119"/>
      <c r="Q33" s="119"/>
    </row>
    <row r="34" spans="2:17">
      <c r="E34" s="119"/>
      <c r="F34" s="119"/>
      <c r="G34" s="119"/>
      <c r="H34" s="119"/>
      <c r="I34" s="119"/>
      <c r="J34" s="119"/>
      <c r="K34" s="119"/>
      <c r="N34" s="119"/>
      <c r="O34" s="119"/>
      <c r="P34" s="119"/>
      <c r="Q34" s="119"/>
    </row>
    <row r="35" spans="2:17">
      <c r="E35" s="119"/>
      <c r="F35" s="119"/>
      <c r="G35" s="119"/>
      <c r="H35" s="119"/>
      <c r="I35" s="119"/>
      <c r="J35" s="119"/>
      <c r="K35" s="119"/>
      <c r="N35" s="119"/>
      <c r="O35" s="119"/>
      <c r="P35" s="119"/>
      <c r="Q35" s="119"/>
    </row>
    <row r="36" spans="2:17">
      <c r="E36" s="119"/>
      <c r="F36" s="119"/>
      <c r="G36" s="119"/>
      <c r="H36" s="119"/>
      <c r="I36" s="119"/>
      <c r="J36" s="119"/>
      <c r="K36" s="119"/>
      <c r="N36" s="119"/>
      <c r="O36" s="119"/>
      <c r="P36" s="119"/>
      <c r="Q36" s="119"/>
    </row>
    <row r="37" spans="2:17">
      <c r="E37" s="119"/>
      <c r="F37" s="119"/>
      <c r="G37" s="119"/>
      <c r="H37" s="119"/>
      <c r="I37" s="119"/>
      <c r="J37" s="119"/>
      <c r="K37" s="119"/>
      <c r="N37" s="119"/>
      <c r="O37" s="119"/>
      <c r="P37" s="119"/>
      <c r="Q37" s="119"/>
    </row>
    <row r="38" spans="2:17">
      <c r="B38" s="119"/>
      <c r="C38" s="119"/>
      <c r="D38" s="119"/>
      <c r="E38" s="119"/>
      <c r="F38" s="119"/>
      <c r="G38" s="119"/>
      <c r="H38" s="119"/>
      <c r="I38" s="119"/>
      <c r="J38" s="119"/>
      <c r="K38" s="119"/>
      <c r="N38" s="119"/>
    </row>
    <row r="39" spans="2:17" ht="28.5">
      <c r="B39" s="119"/>
      <c r="C39" s="119"/>
      <c r="D39" s="120"/>
      <c r="E39" s="119"/>
      <c r="F39" s="119"/>
      <c r="G39" s="119"/>
      <c r="H39" s="119"/>
      <c r="I39" s="119"/>
      <c r="J39" s="119"/>
      <c r="K39" s="119"/>
      <c r="N39" s="119"/>
    </row>
    <row r="40" spans="2:17">
      <c r="B40" s="119"/>
      <c r="C40" s="119"/>
      <c r="D40" s="119"/>
      <c r="E40" s="119"/>
      <c r="F40" s="119"/>
      <c r="G40" s="119"/>
      <c r="H40" s="119"/>
      <c r="I40" s="119"/>
      <c r="J40" s="119"/>
      <c r="K40" s="119"/>
      <c r="N40" s="119"/>
    </row>
    <row r="41" spans="2:17">
      <c r="B41" s="119"/>
      <c r="F41" s="119"/>
      <c r="G41" s="119"/>
      <c r="H41" s="119"/>
      <c r="I41" s="119"/>
      <c r="J41" s="119"/>
      <c r="K41" s="119"/>
      <c r="N41" s="119"/>
    </row>
    <row r="42" spans="2:17">
      <c r="B42" s="119"/>
      <c r="F42" s="119"/>
      <c r="G42" s="119"/>
      <c r="H42" s="119"/>
      <c r="I42" s="119"/>
      <c r="J42" s="119"/>
      <c r="K42" s="119"/>
      <c r="N42" s="119"/>
    </row>
    <row r="43" spans="2:17">
      <c r="B43" s="119"/>
      <c r="F43" s="119"/>
      <c r="G43" s="119"/>
      <c r="H43" s="119"/>
      <c r="I43" s="119"/>
      <c r="J43" s="119"/>
      <c r="K43" s="119"/>
    </row>
    <row r="44" spans="2:17">
      <c r="B44" s="119"/>
      <c r="F44" s="119"/>
      <c r="G44" s="119"/>
      <c r="H44" s="119"/>
      <c r="I44" s="119"/>
      <c r="J44" s="119"/>
      <c r="K44" s="119"/>
    </row>
    <row r="45" spans="2:17">
      <c r="B45" s="119"/>
      <c r="F45" s="119"/>
      <c r="G45" s="119"/>
      <c r="H45" s="119"/>
      <c r="I45" s="119"/>
      <c r="J45" s="119"/>
      <c r="K45" s="119"/>
    </row>
    <row r="46" spans="2:17">
      <c r="B46" s="119"/>
      <c r="C46" s="119"/>
      <c r="D46" s="119"/>
      <c r="E46" s="119"/>
    </row>
    <row r="47" spans="2:17">
      <c r="B47" s="119"/>
      <c r="C47" s="119"/>
      <c r="D47" s="119"/>
      <c r="E47" s="119"/>
    </row>
    <row r="48" spans="2:17">
      <c r="B48" s="119"/>
      <c r="C48" s="119"/>
      <c r="D48" s="119"/>
      <c r="E48" s="119"/>
    </row>
    <row r="49" spans="2:5">
      <c r="B49" s="119"/>
      <c r="C49" s="119"/>
      <c r="D49" s="119"/>
      <c r="E49" s="119"/>
    </row>
    <row r="50" spans="2:5">
      <c r="B50" s="119"/>
      <c r="C50" s="119"/>
      <c r="D50" s="119"/>
      <c r="E50" s="119"/>
    </row>
    <row r="51" spans="2:5">
      <c r="B51" s="119"/>
      <c r="C51" s="119"/>
      <c r="D51" s="119"/>
      <c r="E51" s="119"/>
    </row>
    <row r="52" spans="2:5">
      <c r="B52" s="119"/>
      <c r="C52" s="119"/>
      <c r="D52" s="119"/>
      <c r="E52" s="119"/>
    </row>
    <row r="53" spans="2:5">
      <c r="B53" s="119"/>
      <c r="C53" s="119"/>
      <c r="D53" s="119"/>
      <c r="E53" s="119"/>
    </row>
    <row r="54" spans="2:5">
      <c r="B54" s="119"/>
      <c r="C54" s="119"/>
      <c r="D54" s="119"/>
      <c r="E54" s="119"/>
    </row>
    <row r="55" spans="2:5">
      <c r="B55" s="119"/>
      <c r="C55" s="119"/>
      <c r="D55" s="119"/>
      <c r="E55" s="119"/>
    </row>
    <row r="56" spans="2:5">
      <c r="B56" s="119"/>
      <c r="C56" s="119"/>
      <c r="D56" s="119"/>
      <c r="E56" s="119"/>
    </row>
    <row r="57" spans="2:5">
      <c r="B57" s="119"/>
      <c r="C57" s="119"/>
      <c r="D57" s="119"/>
      <c r="E57" s="119"/>
    </row>
    <row r="58" spans="2:5">
      <c r="B58" s="119"/>
      <c r="C58" s="119"/>
      <c r="D58" s="119"/>
      <c r="E58" s="119"/>
    </row>
    <row r="59" spans="2:5">
      <c r="B59" s="119"/>
      <c r="C59" s="119"/>
      <c r="D59" s="119"/>
      <c r="E59" s="119"/>
    </row>
    <row r="60" spans="2:5">
      <c r="B60" s="119"/>
      <c r="C60" s="119"/>
      <c r="D60" s="119"/>
      <c r="E60" s="119"/>
    </row>
    <row r="61" spans="2:5">
      <c r="B61" s="119"/>
      <c r="C61" s="119"/>
      <c r="D61" s="119"/>
      <c r="E61" s="119"/>
    </row>
    <row r="62" spans="2:5">
      <c r="B62" s="119"/>
      <c r="C62" s="119"/>
      <c r="D62" s="119"/>
      <c r="E62" s="119"/>
    </row>
    <row r="63" spans="2:5">
      <c r="B63" s="119"/>
      <c r="C63" s="119"/>
      <c r="D63" s="119"/>
      <c r="E63" s="119"/>
    </row>
    <row r="64" spans="2:5">
      <c r="B64" s="119"/>
      <c r="C64" s="119"/>
      <c r="D64" s="119"/>
      <c r="E64" s="119"/>
    </row>
    <row r="65" spans="2:5">
      <c r="B65" s="119"/>
      <c r="C65" s="119"/>
      <c r="D65" s="119"/>
      <c r="E65" s="119"/>
    </row>
    <row r="66" spans="2:5">
      <c r="B66" s="119"/>
      <c r="C66" s="119"/>
      <c r="D66" s="119"/>
      <c r="E66" s="119"/>
    </row>
    <row r="67" spans="2:5">
      <c r="B67" s="119"/>
      <c r="C67" s="119"/>
      <c r="D67" s="119"/>
      <c r="E67" s="119"/>
    </row>
    <row r="68" spans="2:5">
      <c r="B68" s="119"/>
      <c r="C68" s="119"/>
      <c r="D68" s="119"/>
      <c r="E68" s="119"/>
    </row>
    <row r="69" spans="2:5">
      <c r="B69" s="119"/>
      <c r="C69" s="119"/>
      <c r="D69" s="119"/>
      <c r="E69" s="119"/>
    </row>
    <row r="70" spans="2:5">
      <c r="B70" s="119"/>
      <c r="C70" s="119"/>
      <c r="D70" s="119"/>
      <c r="E70" s="119"/>
    </row>
    <row r="71" spans="2:5">
      <c r="B71" s="119"/>
      <c r="C71" s="119"/>
      <c r="D71" s="119"/>
      <c r="E71" s="119"/>
    </row>
    <row r="72" spans="2:5">
      <c r="B72" s="119"/>
      <c r="C72" s="119"/>
      <c r="D72" s="119"/>
      <c r="E72" s="119"/>
    </row>
    <row r="73" spans="2:5">
      <c r="B73" s="119"/>
      <c r="C73" s="119"/>
      <c r="D73" s="119"/>
      <c r="E73" s="119"/>
    </row>
    <row r="74" spans="2:5">
      <c r="B74" s="119"/>
      <c r="C74" s="119"/>
      <c r="D74" s="119"/>
      <c r="E74" s="119"/>
    </row>
    <row r="75" spans="2:5">
      <c r="B75" s="119"/>
      <c r="C75" s="119"/>
      <c r="D75" s="119"/>
      <c r="E75" s="119"/>
    </row>
    <row r="76" spans="2:5">
      <c r="B76" s="119"/>
      <c r="C76" s="119"/>
      <c r="D76" s="119"/>
      <c r="E76" s="119"/>
    </row>
  </sheetData>
  <mergeCells count="1">
    <mergeCell ref="A1:K1"/>
  </mergeCells>
  <pageMargins left="0.70866141732283472" right="0.70866141732283472" top="0.74803149606299213" bottom="0.74803149606299213" header="0.31496062992125984" footer="0.31496062992125984"/>
  <pageSetup scale="66"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8"/>
  <sheetViews>
    <sheetView showGridLines="0" view="pageBreakPreview" zoomScale="55" zoomScaleNormal="70" zoomScaleSheetLayoutView="55" workbookViewId="0">
      <selection activeCell="G7" sqref="G7"/>
    </sheetView>
  </sheetViews>
  <sheetFormatPr baseColWidth="10" defaultColWidth="11.42578125" defaultRowHeight="15"/>
  <cols>
    <col min="1" max="1" width="25.85546875" style="57" customWidth="1"/>
    <col min="2" max="2" width="38.5703125" style="57" customWidth="1"/>
    <col min="3" max="3" width="36" style="57" customWidth="1"/>
    <col min="4" max="4" width="32.28515625" style="57" customWidth="1"/>
    <col min="5" max="5" width="24.140625" style="57" bestFit="1" customWidth="1"/>
    <col min="6" max="6" width="23.140625" style="57" customWidth="1"/>
    <col min="7" max="7" width="16.85546875" style="57" bestFit="1" customWidth="1"/>
    <col min="8" max="8" width="13.7109375" style="57" customWidth="1"/>
    <col min="9" max="10" width="11.42578125" style="57"/>
    <col min="11" max="11" width="13.85546875" style="57" customWidth="1"/>
    <col min="12" max="12" width="16.5703125" style="57" customWidth="1"/>
    <col min="13" max="13" width="19.7109375" style="57" customWidth="1"/>
    <col min="14" max="14" width="18.28515625" style="57" bestFit="1" customWidth="1"/>
    <col min="15" max="16384" width="11.42578125" style="57"/>
  </cols>
  <sheetData>
    <row r="1" spans="1:14" customFormat="1" ht="69" customHeight="1">
      <c r="A1" s="1939"/>
      <c r="B1" s="1939"/>
      <c r="C1" s="1939"/>
      <c r="D1" s="1939"/>
      <c r="E1" s="1939"/>
      <c r="F1" s="1939"/>
      <c r="G1" s="1939"/>
      <c r="H1" s="1939"/>
      <c r="I1" s="1939"/>
      <c r="J1" s="1939"/>
      <c r="K1" s="1939"/>
      <c r="L1" s="1939"/>
    </row>
    <row r="2" spans="1:14" customFormat="1" ht="8.25" customHeight="1">
      <c r="A2" s="1944"/>
      <c r="B2" s="1944"/>
      <c r="C2" s="1944"/>
      <c r="D2" s="1944"/>
      <c r="E2" s="1944"/>
      <c r="F2" s="1944"/>
      <c r="G2" s="1944"/>
      <c r="H2" s="1944"/>
      <c r="I2" s="1944"/>
      <c r="J2" s="1944"/>
      <c r="K2" s="1944"/>
      <c r="L2" s="1944"/>
      <c r="M2" s="112"/>
      <c r="N2" s="112"/>
    </row>
    <row r="3" spans="1:14" customFormat="1" ht="45.75" customHeight="1">
      <c r="A3" s="1554" t="s">
        <v>25</v>
      </c>
      <c r="B3" s="1555" t="s">
        <v>941</v>
      </c>
      <c r="C3" s="1555" t="s">
        <v>730</v>
      </c>
      <c r="D3" s="1656" t="s">
        <v>163</v>
      </c>
      <c r="E3" s="22"/>
      <c r="F3" s="35"/>
      <c r="G3" s="35"/>
      <c r="H3" s="35"/>
      <c r="I3" s="35"/>
      <c r="J3" s="19"/>
      <c r="K3" s="19"/>
      <c r="L3" s="19"/>
      <c r="M3" s="118"/>
    </row>
    <row r="4" spans="1:14" s="77" customFormat="1" ht="18.75">
      <c r="A4" s="1556">
        <v>2003</v>
      </c>
      <c r="B4" s="1557">
        <f>+'IV.1.3. Ingr y egr SDSS'!C5</f>
        <v>50000000</v>
      </c>
      <c r="C4" s="1558">
        <f>+'IV.1.3. Ingr y egr SDSS'!I5</f>
        <v>50652652.469999999</v>
      </c>
      <c r="D4" s="1657">
        <f t="shared" ref="D4:D5" si="0">B4-C4</f>
        <v>-652652.46999999881</v>
      </c>
      <c r="E4" s="94"/>
      <c r="F4" s="35"/>
      <c r="G4" s="35"/>
      <c r="H4" s="35"/>
      <c r="I4" s="35"/>
      <c r="J4" s="19"/>
      <c r="K4" s="19"/>
      <c r="L4" s="19"/>
      <c r="M4" s="118"/>
    </row>
    <row r="5" spans="1:14" s="77" customFormat="1" ht="18.75">
      <c r="A5" s="1556">
        <v>2004</v>
      </c>
      <c r="B5" s="1557">
        <f>+'IV.1.3. Ingr y egr SDSS'!C6</f>
        <v>100013332.31999999</v>
      </c>
      <c r="C5" s="1558">
        <f>+'IV.1.3. Ingr y egr SDSS'!I6</f>
        <v>103813912.38</v>
      </c>
      <c r="D5" s="1657">
        <f t="shared" si="0"/>
        <v>-3800580.0600000024</v>
      </c>
      <c r="E5" s="94"/>
      <c r="F5" s="35"/>
      <c r="G5" s="35"/>
      <c r="H5" s="35"/>
      <c r="I5" s="35"/>
      <c r="J5" s="19"/>
      <c r="K5" s="19"/>
      <c r="L5" s="19"/>
      <c r="M5" s="118"/>
    </row>
    <row r="6" spans="1:14" customFormat="1" ht="18.75">
      <c r="A6" s="1556">
        <v>2005</v>
      </c>
      <c r="B6" s="1557">
        <f>+'IV.1.3. Ingr y egr SDSS'!C7</f>
        <v>604604920.63</v>
      </c>
      <c r="C6" s="1558">
        <f>+'IV.1.3. Ingr y egr SDSS'!I7</f>
        <v>203608914.68000001</v>
      </c>
      <c r="D6" s="1657">
        <f t="shared" ref="D6:D15" si="1">B6-C6</f>
        <v>400996005.94999999</v>
      </c>
      <c r="E6" s="22"/>
      <c r="F6" s="35"/>
      <c r="G6" s="35"/>
      <c r="H6" s="35"/>
      <c r="I6" s="35"/>
      <c r="J6" s="19"/>
      <c r="K6" s="19"/>
      <c r="L6" s="19"/>
    </row>
    <row r="7" spans="1:14" customFormat="1" ht="18.75">
      <c r="A7" s="1556">
        <v>2006</v>
      </c>
      <c r="B7" s="1557">
        <f>+'IV.1.3. Ingr y egr SDSS'!C8</f>
        <v>724509996.65999997</v>
      </c>
      <c r="C7" s="1558">
        <f>+'IV.1.3. Ingr y egr SDSS'!I8</f>
        <v>816768960.5</v>
      </c>
      <c r="D7" s="1657">
        <f t="shared" si="1"/>
        <v>-92258963.840000033</v>
      </c>
      <c r="E7" s="94"/>
      <c r="F7" s="35"/>
      <c r="G7" s="35"/>
      <c r="H7" s="35"/>
      <c r="I7" s="35"/>
      <c r="J7" s="19"/>
      <c r="K7" s="19"/>
      <c r="L7" s="19"/>
    </row>
    <row r="8" spans="1:14" customFormat="1" ht="18.75">
      <c r="A8" s="1556">
        <v>2007</v>
      </c>
      <c r="B8" s="1557">
        <f>+'IV.1.3. Ingr y egr SDSS'!C9</f>
        <v>1566425499.9599998</v>
      </c>
      <c r="C8" s="1558">
        <f>+'IV.1.3. Ingr y egr SDSS'!I9</f>
        <v>1578880050.26</v>
      </c>
      <c r="D8" s="1657">
        <f t="shared" si="1"/>
        <v>-12454550.300000191</v>
      </c>
      <c r="E8" s="94"/>
      <c r="F8" s="35"/>
      <c r="G8" s="35"/>
      <c r="H8" s="35"/>
      <c r="I8" s="35"/>
      <c r="J8" s="19"/>
      <c r="K8" s="19"/>
      <c r="L8" s="19"/>
    </row>
    <row r="9" spans="1:14" customFormat="1" ht="18.75">
      <c r="A9" s="1556">
        <v>2008</v>
      </c>
      <c r="B9" s="1557">
        <f>+'IV.1.3. Ingr y egr SDSS'!C10</f>
        <v>2203585531</v>
      </c>
      <c r="C9" s="1558">
        <f>+'IV.1.3. Ingr y egr SDSS'!I10</f>
        <v>2556770326.0999999</v>
      </c>
      <c r="D9" s="1657">
        <f t="shared" si="1"/>
        <v>-353184795.0999999</v>
      </c>
      <c r="E9" s="94"/>
      <c r="F9" s="35"/>
      <c r="G9" s="35"/>
      <c r="H9" s="35"/>
      <c r="I9" s="35"/>
      <c r="J9" s="19"/>
      <c r="K9" s="19"/>
      <c r="L9" s="19"/>
    </row>
    <row r="10" spans="1:14" customFormat="1" ht="18.75">
      <c r="A10" s="1556">
        <v>2009</v>
      </c>
      <c r="B10" s="1557">
        <f>+'IV.1.3. Ingr y egr SDSS'!C11</f>
        <v>3190675855.0100002</v>
      </c>
      <c r="C10" s="1558">
        <f>+'IV.1.3. Ingr y egr SDSS'!I11</f>
        <v>2723337644.3600001</v>
      </c>
      <c r="D10" s="1657">
        <f t="shared" si="1"/>
        <v>467338210.6500001</v>
      </c>
      <c r="E10" s="94"/>
      <c r="F10" s="35"/>
      <c r="G10" s="35"/>
      <c r="H10" s="35"/>
      <c r="I10" s="35"/>
      <c r="J10" s="19"/>
      <c r="K10" s="19"/>
      <c r="L10" s="19"/>
    </row>
    <row r="11" spans="1:14" customFormat="1" ht="18.75">
      <c r="A11" s="1556">
        <v>2010</v>
      </c>
      <c r="B11" s="1557">
        <f>+'IV.1.3. Ingr y egr SDSS'!C12</f>
        <v>3736675849.46</v>
      </c>
      <c r="C11" s="1558">
        <f>+'IV.1.3. Ingr y egr SDSS'!I12</f>
        <v>3444380482.9799995</v>
      </c>
      <c r="D11" s="1657">
        <f t="shared" si="1"/>
        <v>292295366.4800005</v>
      </c>
      <c r="E11" s="94"/>
      <c r="F11" s="35"/>
      <c r="G11" s="35"/>
      <c r="H11" s="35"/>
      <c r="I11" s="35"/>
      <c r="J11" s="19"/>
      <c r="K11" s="19"/>
      <c r="L11" s="19"/>
    </row>
    <row r="12" spans="1:14" s="77" customFormat="1" ht="18.75">
      <c r="A12" s="1556">
        <v>2011</v>
      </c>
      <c r="B12" s="1557">
        <f>+'IV.1.3. Ingr y egr SDSS'!C13</f>
        <v>4134675852</v>
      </c>
      <c r="C12" s="1558">
        <f>+'IV.1.3. Ingr y egr SDSS'!I13</f>
        <v>4363872025.0799999</v>
      </c>
      <c r="D12" s="1657">
        <f t="shared" si="1"/>
        <v>-229196173.07999992</v>
      </c>
      <c r="E12" s="94"/>
      <c r="F12" s="35"/>
      <c r="G12" s="35"/>
      <c r="H12" s="35"/>
      <c r="I12" s="35"/>
      <c r="J12" s="19"/>
      <c r="K12" s="19"/>
      <c r="L12" s="19"/>
    </row>
    <row r="13" spans="1:14" s="77" customFormat="1" ht="18.75">
      <c r="A13" s="1556">
        <v>2012</v>
      </c>
      <c r="B13" s="1557">
        <f>+'IV.1.3. Ingr y egr SDSS'!C14</f>
        <v>4599999999.96</v>
      </c>
      <c r="C13" s="1558">
        <f>+'IV.1.3. Ingr y egr SDSS'!I14</f>
        <v>4742082647.7799997</v>
      </c>
      <c r="D13" s="1657">
        <f t="shared" si="1"/>
        <v>-142082647.81999969</v>
      </c>
      <c r="E13" s="94"/>
      <c r="F13" s="35"/>
      <c r="G13" s="35"/>
      <c r="H13" s="35"/>
      <c r="I13" s="35"/>
      <c r="J13" s="19"/>
      <c r="K13" s="19"/>
      <c r="L13" s="19"/>
    </row>
    <row r="14" spans="1:14" s="77" customFormat="1" ht="18.75">
      <c r="A14" s="1556">
        <v>2013</v>
      </c>
      <c r="B14" s="1557">
        <f>+'IV.1.3. Ingr y egr SDSS'!C15</f>
        <v>5302610000</v>
      </c>
      <c r="C14" s="1558">
        <f>+'IV.1.3. Ingr y egr SDSS'!I15</f>
        <v>5215203784.9399996</v>
      </c>
      <c r="D14" s="1657">
        <f t="shared" si="1"/>
        <v>87406215.06000042</v>
      </c>
      <c r="E14" s="94"/>
      <c r="F14" s="35"/>
      <c r="G14" s="35"/>
      <c r="H14" s="35"/>
      <c r="I14" s="35"/>
      <c r="J14" s="19"/>
      <c r="K14" s="19"/>
      <c r="L14" s="19"/>
    </row>
    <row r="15" spans="1:14" s="77" customFormat="1" ht="18.75">
      <c r="A15" s="1556">
        <v>2014</v>
      </c>
      <c r="B15" s="1557">
        <f>+'IV.1.3. Ingr y egr SDSS'!C16</f>
        <v>6839999499</v>
      </c>
      <c r="C15" s="1558">
        <f>+'IV.1.3. Ingr y egr SDSS'!I16</f>
        <v>7378610518.96</v>
      </c>
      <c r="D15" s="1657">
        <f t="shared" si="1"/>
        <v>-538611019.96000004</v>
      </c>
      <c r="E15" s="94"/>
      <c r="F15" s="35"/>
      <c r="G15" s="35"/>
      <c r="H15" s="35"/>
      <c r="I15" s="35"/>
      <c r="J15" s="19"/>
      <c r="K15" s="19"/>
      <c r="L15" s="19"/>
    </row>
    <row r="16" spans="1:14" s="77" customFormat="1" ht="18.75">
      <c r="A16" s="1556" t="s">
        <v>968</v>
      </c>
      <c r="B16" s="1557">
        <v>3146732398</v>
      </c>
      <c r="C16" s="1558">
        <v>3102022919.7600002</v>
      </c>
      <c r="D16" s="1657">
        <f>B16-C16</f>
        <v>44709478.239999771</v>
      </c>
      <c r="E16" s="94"/>
      <c r="F16" s="35"/>
      <c r="G16" s="35"/>
      <c r="H16" s="35"/>
      <c r="I16" s="35"/>
      <c r="J16" s="19"/>
      <c r="K16" s="19"/>
      <c r="L16" s="19"/>
    </row>
    <row r="17" spans="1:12" customFormat="1" ht="18" customHeight="1">
      <c r="A17" s="1606" t="s">
        <v>23</v>
      </c>
      <c r="B17" s="1559">
        <f>SUM(B4:B16)</f>
        <v>36200508734</v>
      </c>
      <c r="C17" s="1560">
        <f>SUM(C4:C16)</f>
        <v>36280004840.25</v>
      </c>
      <c r="D17" s="1658">
        <f>SUM(D4:D16)</f>
        <v>-79496106.249999046</v>
      </c>
      <c r="E17" s="1653"/>
      <c r="F17" s="35"/>
      <c r="G17" s="35"/>
      <c r="H17" s="35"/>
      <c r="I17" s="35"/>
      <c r="J17" s="19"/>
      <c r="K17" s="19"/>
      <c r="L17" s="19"/>
    </row>
    <row r="18" spans="1:12" customFormat="1">
      <c r="A18" s="1561"/>
      <c r="B18" s="1561"/>
      <c r="C18" s="1561"/>
      <c r="D18" s="215"/>
      <c r="E18" s="36"/>
      <c r="F18" s="36"/>
      <c r="G18" s="36"/>
      <c r="H18" s="36"/>
      <c r="I18" s="36"/>
      <c r="J18" s="23"/>
      <c r="K18" s="23"/>
      <c r="L18" s="23"/>
    </row>
    <row r="19" spans="1:12" customFormat="1">
      <c r="C19" s="23"/>
      <c r="D19" s="23"/>
      <c r="E19" s="36"/>
      <c r="F19" s="36"/>
      <c r="G19" s="36"/>
      <c r="H19" s="36"/>
      <c r="I19" s="36"/>
      <c r="J19" s="23"/>
      <c r="K19" s="23"/>
      <c r="L19" s="23"/>
    </row>
    <row r="20" spans="1:12" customFormat="1">
      <c r="C20" s="23"/>
      <c r="D20" s="23"/>
      <c r="E20" s="23"/>
      <c r="F20" s="23"/>
      <c r="G20" s="23"/>
      <c r="H20" s="23"/>
      <c r="I20" s="23"/>
      <c r="J20" s="23"/>
      <c r="K20" s="23"/>
      <c r="L20" s="23"/>
    </row>
    <row r="21" spans="1:12" customFormat="1">
      <c r="C21" s="23"/>
      <c r="D21" s="23"/>
      <c r="E21" s="23"/>
      <c r="F21" s="23"/>
      <c r="G21" s="23"/>
      <c r="H21" s="23"/>
      <c r="I21" s="23"/>
      <c r="J21" s="23"/>
      <c r="K21" s="23"/>
      <c r="L21" s="23"/>
    </row>
    <row r="22" spans="1:12" customFormat="1">
      <c r="C22" s="23"/>
      <c r="D22" s="23"/>
      <c r="E22" s="23"/>
      <c r="F22" s="23"/>
      <c r="G22" s="23"/>
      <c r="H22" s="23"/>
      <c r="I22" s="23"/>
      <c r="J22" s="23"/>
      <c r="K22" s="23"/>
      <c r="L22" s="23"/>
    </row>
    <row r="23" spans="1:12" customFormat="1">
      <c r="C23" s="23"/>
      <c r="D23" s="23"/>
      <c r="E23" s="23"/>
      <c r="F23" s="23"/>
      <c r="G23" s="23"/>
      <c r="H23" s="23"/>
      <c r="I23" s="23"/>
      <c r="J23" s="23"/>
      <c r="K23" s="23"/>
      <c r="L23" s="23"/>
    </row>
    <row r="24" spans="1:12" customFormat="1">
      <c r="C24" s="23"/>
      <c r="D24" s="23"/>
      <c r="E24" s="23"/>
      <c r="F24" s="23"/>
      <c r="G24" s="23"/>
      <c r="H24" s="23"/>
      <c r="I24" s="23"/>
      <c r="J24" s="23"/>
      <c r="K24" s="23"/>
      <c r="L24" s="23"/>
    </row>
    <row r="25" spans="1:12" customFormat="1">
      <c r="C25" s="23"/>
      <c r="D25" s="23"/>
      <c r="E25" s="23"/>
      <c r="F25" s="23"/>
      <c r="G25" s="23"/>
      <c r="H25" s="23"/>
      <c r="I25" s="23"/>
      <c r="J25" s="23"/>
      <c r="K25" s="23"/>
      <c r="L25" s="23"/>
    </row>
    <row r="26" spans="1:12" customFormat="1">
      <c r="C26" s="23"/>
      <c r="D26" s="23"/>
      <c r="E26" s="23"/>
      <c r="F26" s="23"/>
      <c r="G26" s="23"/>
      <c r="H26" s="23"/>
      <c r="I26" s="23"/>
      <c r="J26" s="23"/>
      <c r="K26" s="23"/>
      <c r="L26" s="23"/>
    </row>
    <row r="27" spans="1:12" customFormat="1">
      <c r="C27" s="23"/>
      <c r="D27" s="23"/>
      <c r="E27" s="23"/>
      <c r="F27" s="23"/>
      <c r="G27" s="23"/>
      <c r="H27" s="23"/>
      <c r="I27" s="23"/>
      <c r="J27" s="23"/>
      <c r="K27" s="23"/>
      <c r="L27" s="23"/>
    </row>
    <row r="28" spans="1:12" customFormat="1">
      <c r="C28" s="23"/>
      <c r="D28" s="23"/>
      <c r="E28" s="23"/>
      <c r="F28" s="23"/>
      <c r="G28" s="23"/>
      <c r="H28" s="23"/>
      <c r="I28" s="23"/>
      <c r="J28" s="23"/>
      <c r="K28" s="23"/>
      <c r="L28" s="23"/>
    </row>
    <row r="29" spans="1:12" customFormat="1">
      <c r="C29" s="23"/>
      <c r="D29" s="23"/>
      <c r="E29" s="23"/>
      <c r="F29" s="23"/>
      <c r="G29" s="23"/>
      <c r="H29" s="23"/>
      <c r="I29" s="23"/>
      <c r="J29" s="23"/>
      <c r="K29" s="23"/>
      <c r="L29" s="23"/>
    </row>
    <row r="30" spans="1:12" customFormat="1">
      <c r="C30" s="23"/>
      <c r="D30" s="23"/>
      <c r="E30" s="23"/>
      <c r="F30" s="23"/>
      <c r="G30" s="23"/>
      <c r="H30" s="23"/>
      <c r="I30" s="23"/>
      <c r="J30" s="23"/>
      <c r="K30" s="23"/>
      <c r="L30" s="23"/>
    </row>
    <row r="31" spans="1:12" customFormat="1">
      <c r="C31" s="23"/>
      <c r="D31" s="23"/>
      <c r="E31" s="23"/>
      <c r="F31" s="23"/>
      <c r="G31" s="23"/>
      <c r="H31" s="23"/>
      <c r="I31" s="23"/>
      <c r="J31" s="23"/>
      <c r="K31" s="23"/>
      <c r="L31" s="23"/>
    </row>
    <row r="32" spans="1:1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9"/>
  <sheetViews>
    <sheetView showGridLines="0" view="pageBreakPreview" zoomScale="70" zoomScaleNormal="100" zoomScaleSheetLayoutView="70" workbookViewId="0">
      <selection activeCell="H8" sqref="H8"/>
    </sheetView>
  </sheetViews>
  <sheetFormatPr baseColWidth="10" defaultColWidth="11.42578125" defaultRowHeight="15"/>
  <cols>
    <col min="1" max="1" width="11.42578125" style="55"/>
    <col min="2" max="2" width="21.28515625" style="55" bestFit="1" customWidth="1"/>
    <col min="3" max="3" width="20.85546875" style="55" customWidth="1"/>
    <col min="4" max="4" width="22.7109375" style="55" customWidth="1"/>
    <col min="5" max="5" width="22.42578125" style="55" customWidth="1"/>
    <col min="6" max="6" width="17.85546875" style="55" bestFit="1" customWidth="1"/>
    <col min="7" max="11" width="11.42578125" style="55"/>
    <col min="12" max="12" width="22.42578125" style="55" customWidth="1"/>
    <col min="13" max="13" width="16" style="55" bestFit="1" customWidth="1"/>
    <col min="14" max="16384" width="11.42578125" style="55"/>
  </cols>
  <sheetData>
    <row r="1" spans="1:12" customFormat="1" ht="77.25" customHeight="1">
      <c r="A1" s="1936"/>
      <c r="B1" s="1936"/>
      <c r="C1" s="1936"/>
      <c r="D1" s="1936"/>
      <c r="E1" s="1936"/>
      <c r="F1" s="1936"/>
      <c r="G1" s="1936"/>
      <c r="H1" s="1936"/>
      <c r="I1" s="1936"/>
      <c r="J1" s="1936"/>
      <c r="K1" s="1936"/>
      <c r="L1" s="1936"/>
    </row>
    <row r="2" spans="1:12" customFormat="1" ht="24.75" customHeight="1">
      <c r="A2" s="531" t="s">
        <v>48</v>
      </c>
      <c r="B2" s="587" t="s">
        <v>127</v>
      </c>
      <c r="C2" s="581" t="s">
        <v>731</v>
      </c>
      <c r="D2" s="1542" t="s">
        <v>163</v>
      </c>
      <c r="E2" s="19"/>
      <c r="F2" s="19"/>
      <c r="G2" s="19"/>
      <c r="H2" s="19"/>
      <c r="I2" s="19"/>
      <c r="J2" s="19"/>
      <c r="K2" s="19"/>
      <c r="L2" s="19"/>
    </row>
    <row r="3" spans="1:12" s="77" customFormat="1" ht="15.75">
      <c r="A3" s="588" t="s">
        <v>567</v>
      </c>
      <c r="B3" s="586">
        <v>570000000</v>
      </c>
      <c r="C3" s="586">
        <v>566362011.77999997</v>
      </c>
      <c r="D3" s="1543">
        <f t="shared" ref="D3:D8" si="0">+B3-C3</f>
        <v>3637988.2200000286</v>
      </c>
      <c r="E3" s="23"/>
      <c r="F3" s="23"/>
      <c r="G3" s="23"/>
      <c r="H3" s="23"/>
      <c r="I3" s="23"/>
      <c r="J3" s="23"/>
      <c r="K3" s="23"/>
      <c r="L3" s="23"/>
    </row>
    <row r="4" spans="1:12" s="77" customFormat="1" ht="15.75">
      <c r="A4" s="588" t="s">
        <v>568</v>
      </c>
      <c r="B4" s="586">
        <v>570000000</v>
      </c>
      <c r="C4" s="586">
        <v>565674533.46000004</v>
      </c>
      <c r="D4" s="1543">
        <f t="shared" si="0"/>
        <v>4325466.5399999619</v>
      </c>
      <c r="E4" s="23"/>
      <c r="F4" s="23"/>
      <c r="G4" s="23"/>
      <c r="H4" s="23"/>
      <c r="I4" s="23"/>
      <c r="J4" s="23"/>
      <c r="K4" s="23"/>
      <c r="L4" s="23"/>
    </row>
    <row r="5" spans="1:12" s="77" customFormat="1" ht="15.75">
      <c r="A5" s="588" t="s">
        <v>569</v>
      </c>
      <c r="B5" s="586">
        <v>570000000</v>
      </c>
      <c r="C5" s="586">
        <v>564899580.29999995</v>
      </c>
      <c r="D5" s="1543">
        <f t="shared" si="0"/>
        <v>5100419.7000000477</v>
      </c>
      <c r="E5" s="23"/>
      <c r="F5" s="23"/>
      <c r="G5" s="23"/>
      <c r="H5" s="23"/>
      <c r="I5" s="23"/>
      <c r="J5" s="23"/>
      <c r="K5" s="23"/>
      <c r="L5" s="23"/>
    </row>
    <row r="6" spans="1:12" s="77" customFormat="1" ht="15.75">
      <c r="A6" s="588" t="s">
        <v>570</v>
      </c>
      <c r="B6" s="586">
        <v>570000000</v>
      </c>
      <c r="C6" s="586">
        <v>564355018.62</v>
      </c>
      <c r="D6" s="1543">
        <f t="shared" si="0"/>
        <v>5644981.3799999952</v>
      </c>
      <c r="E6" s="23"/>
      <c r="F6" s="23"/>
      <c r="G6" s="23"/>
      <c r="H6" s="23"/>
      <c r="I6" s="23"/>
      <c r="J6" s="23"/>
      <c r="K6" s="23"/>
      <c r="L6" s="23"/>
    </row>
    <row r="7" spans="1:12" s="77" customFormat="1" ht="15.75">
      <c r="A7" s="588" t="s">
        <v>547</v>
      </c>
      <c r="B7" s="586">
        <v>570000000</v>
      </c>
      <c r="C7" s="586">
        <v>565084386.29999995</v>
      </c>
      <c r="D7" s="1543">
        <f t="shared" si="0"/>
        <v>4915613.7000000477</v>
      </c>
      <c r="E7" s="23"/>
      <c r="F7" s="23"/>
      <c r="G7" s="23"/>
      <c r="H7" s="23"/>
      <c r="I7" s="23"/>
      <c r="J7" s="23"/>
      <c r="K7" s="23"/>
      <c r="L7" s="23"/>
    </row>
    <row r="8" spans="1:12" s="77" customFormat="1" ht="15.75">
      <c r="A8" s="588" t="s">
        <v>588</v>
      </c>
      <c r="B8" s="586">
        <v>570000000</v>
      </c>
      <c r="C8" s="586">
        <v>584861503.05999994</v>
      </c>
      <c r="D8" s="1543">
        <f t="shared" si="0"/>
        <v>-14861503.059999943</v>
      </c>
      <c r="E8" s="23"/>
      <c r="F8" s="23"/>
      <c r="G8" s="23"/>
      <c r="H8" s="23"/>
      <c r="I8" s="23"/>
      <c r="J8" s="23"/>
      <c r="K8" s="23"/>
      <c r="L8" s="23"/>
    </row>
    <row r="9" spans="1:12" s="77" customFormat="1" ht="15.75">
      <c r="A9" s="588" t="s">
        <v>586</v>
      </c>
      <c r="B9" s="586">
        <v>1139999499</v>
      </c>
      <c r="C9" s="586">
        <v>1200757477.7</v>
      </c>
      <c r="D9" s="1543">
        <f>+B9-C9</f>
        <v>-60757978.700000048</v>
      </c>
      <c r="E9" s="23"/>
      <c r="F9" s="23"/>
      <c r="G9" s="23"/>
      <c r="H9" s="23"/>
      <c r="I9" s="23"/>
      <c r="J9" s="23"/>
      <c r="K9" s="23"/>
      <c r="L9" s="23"/>
    </row>
    <row r="10" spans="1:12" s="77" customFormat="1" ht="15.75">
      <c r="A10" s="588" t="s">
        <v>587</v>
      </c>
      <c r="B10" s="586">
        <v>0</v>
      </c>
      <c r="C10" s="586">
        <v>0</v>
      </c>
      <c r="D10" s="1544">
        <f t="shared" ref="D10:D11" si="1">+B10-C10</f>
        <v>0</v>
      </c>
      <c r="E10" s="23"/>
      <c r="F10" s="23"/>
      <c r="G10" s="23"/>
      <c r="H10" s="23"/>
      <c r="I10" s="23"/>
      <c r="J10" s="23"/>
      <c r="K10" s="23"/>
      <c r="L10" s="23"/>
    </row>
    <row r="11" spans="1:12" s="77" customFormat="1" ht="15.75">
      <c r="A11" s="588" t="s">
        <v>761</v>
      </c>
      <c r="B11" s="586">
        <v>629346479</v>
      </c>
      <c r="C11" s="586">
        <v>616221438.53999996</v>
      </c>
      <c r="D11" s="1543">
        <f t="shared" si="1"/>
        <v>13125040.460000038</v>
      </c>
      <c r="E11" s="23"/>
      <c r="F11" s="23"/>
      <c r="G11" s="23"/>
      <c r="H11" s="23"/>
      <c r="I11" s="23"/>
      <c r="J11" s="23"/>
      <c r="K11" s="23"/>
      <c r="L11" s="23"/>
    </row>
    <row r="12" spans="1:12" s="77" customFormat="1" ht="15.75">
      <c r="A12" s="588" t="s">
        <v>909</v>
      </c>
      <c r="B12" s="586">
        <v>629346479.75</v>
      </c>
      <c r="C12" s="586">
        <v>616437456.22000003</v>
      </c>
      <c r="D12" s="1543">
        <f>+B12-C12</f>
        <v>12909023.529999971</v>
      </c>
      <c r="E12" s="23"/>
      <c r="F12" s="23"/>
      <c r="G12" s="23"/>
      <c r="H12" s="23"/>
      <c r="I12" s="23"/>
      <c r="J12" s="23"/>
      <c r="K12" s="23"/>
      <c r="L12" s="23"/>
    </row>
    <row r="13" spans="1:12" s="77" customFormat="1" ht="15.75">
      <c r="A13" s="588" t="s">
        <v>917</v>
      </c>
      <c r="B13" s="586">
        <v>629346479.75</v>
      </c>
      <c r="C13" s="586">
        <v>622706897.10000002</v>
      </c>
      <c r="D13" s="1543">
        <f>+B13-C13</f>
        <v>6639582.6499999762</v>
      </c>
      <c r="E13" s="23"/>
      <c r="F13" s="23"/>
      <c r="G13" s="23"/>
      <c r="H13" s="23"/>
      <c r="I13" s="23"/>
      <c r="J13" s="23"/>
      <c r="K13" s="23"/>
      <c r="L13" s="23"/>
    </row>
    <row r="14" spans="1:12" s="77" customFormat="1" ht="15.75">
      <c r="A14" s="588" t="s">
        <v>931</v>
      </c>
      <c r="B14" s="586">
        <v>629346479.75</v>
      </c>
      <c r="C14" s="586">
        <v>622927021.58000004</v>
      </c>
      <c r="D14" s="1543">
        <f>+B14-C14</f>
        <v>6419458.1699999571</v>
      </c>
      <c r="E14" s="23"/>
      <c r="F14" s="23"/>
      <c r="G14" s="23"/>
      <c r="H14" s="23"/>
      <c r="I14" s="23"/>
      <c r="J14" s="23"/>
      <c r="K14" s="23"/>
      <c r="L14" s="23"/>
    </row>
    <row r="15" spans="1:12" s="77" customFormat="1" ht="15.75">
      <c r="A15" s="588" t="s">
        <v>946</v>
      </c>
      <c r="B15" s="586">
        <v>629346479.75</v>
      </c>
      <c r="C15" s="586">
        <v>623730106.32000005</v>
      </c>
      <c r="D15" s="1543">
        <f>+B15-C15</f>
        <v>5616373.4299999475</v>
      </c>
      <c r="E15" s="23"/>
      <c r="F15" s="23"/>
      <c r="G15" s="23"/>
      <c r="H15" s="23"/>
      <c r="I15" s="23"/>
      <c r="J15" s="23"/>
      <c r="K15" s="23"/>
      <c r="L15" s="23"/>
    </row>
    <row r="16" spans="1:12" customFormat="1" ht="15.75">
      <c r="A16" s="531" t="s">
        <v>23</v>
      </c>
      <c r="B16" s="585">
        <f>SUM(B3:B15)</f>
        <v>7706731897</v>
      </c>
      <c r="C16" s="582">
        <f>SUM(C3:C15)</f>
        <v>7714017430.9800005</v>
      </c>
      <c r="D16" s="1545">
        <f>SUM(D3:D15)</f>
        <v>-7285533.9800000191</v>
      </c>
      <c r="E16" s="23"/>
      <c r="F16" s="23"/>
      <c r="G16" s="23"/>
      <c r="H16" s="23"/>
      <c r="I16" s="23"/>
      <c r="J16" s="23"/>
      <c r="K16" s="23"/>
      <c r="L16" s="23"/>
    </row>
    <row r="17" spans="2:12" customFormat="1">
      <c r="B17" s="23"/>
      <c r="C17" s="23"/>
      <c r="D17" s="23"/>
      <c r="E17" s="23"/>
      <c r="F17" s="23"/>
      <c r="G17" s="23"/>
      <c r="H17" s="23"/>
      <c r="I17" s="23"/>
      <c r="J17" s="23"/>
      <c r="K17" s="23"/>
      <c r="L17" s="23"/>
    </row>
    <row r="18" spans="2:12" customFormat="1">
      <c r="B18" s="23"/>
      <c r="C18" s="23"/>
      <c r="D18" s="23"/>
      <c r="E18" s="23"/>
      <c r="F18" s="23"/>
      <c r="G18" s="23"/>
      <c r="H18" s="23"/>
      <c r="I18" s="23"/>
      <c r="J18" s="23"/>
      <c r="K18" s="23"/>
      <c r="L18" s="23"/>
    </row>
    <row r="19" spans="2:12" customFormat="1">
      <c r="B19" s="23"/>
      <c r="C19" s="23"/>
      <c r="D19" s="23"/>
      <c r="E19" s="23"/>
      <c r="F19" s="23"/>
      <c r="G19" s="23"/>
      <c r="H19" s="23"/>
      <c r="I19" s="23"/>
      <c r="J19" s="23"/>
      <c r="K19" s="23"/>
      <c r="L19" s="23"/>
    </row>
    <row r="20" spans="2:12" customFormat="1">
      <c r="B20" s="23"/>
      <c r="C20" s="23"/>
      <c r="D20" s="23"/>
      <c r="E20" s="23"/>
      <c r="F20" s="23"/>
      <c r="G20" s="23"/>
      <c r="H20" s="23"/>
      <c r="I20" s="23"/>
      <c r="J20" s="23"/>
      <c r="K20" s="23"/>
      <c r="L20" s="23"/>
    </row>
    <row r="21" spans="2:12" customFormat="1">
      <c r="B21" s="23"/>
      <c r="C21" s="23"/>
      <c r="D21" s="23"/>
      <c r="E21" s="23"/>
      <c r="F21" s="23"/>
      <c r="G21" s="23"/>
      <c r="H21" s="23"/>
      <c r="I21" s="23"/>
      <c r="J21" s="23"/>
      <c r="K21" s="23"/>
      <c r="L21" s="23"/>
    </row>
    <row r="22" spans="2:12" customFormat="1">
      <c r="B22" s="23"/>
      <c r="C22" s="23"/>
      <c r="D22" s="23"/>
      <c r="E22" s="23"/>
      <c r="F22" s="23"/>
      <c r="G22" s="23"/>
      <c r="H22" s="23"/>
      <c r="I22" s="23"/>
      <c r="J22" s="23"/>
      <c r="K22" s="23"/>
      <c r="L22" s="23"/>
    </row>
    <row r="23" spans="2:12" customFormat="1">
      <c r="B23" s="23"/>
      <c r="C23" s="23"/>
      <c r="D23" s="23"/>
      <c r="E23" s="23"/>
      <c r="F23" s="23"/>
      <c r="G23" s="23"/>
      <c r="H23" s="23"/>
      <c r="I23" s="23"/>
      <c r="J23" s="23"/>
      <c r="K23" s="23"/>
      <c r="L23" s="23"/>
    </row>
    <row r="24" spans="2:12" customFormat="1">
      <c r="B24" s="23"/>
      <c r="C24" s="23"/>
      <c r="D24" s="23"/>
      <c r="E24" s="23"/>
      <c r="F24" s="23"/>
      <c r="G24" s="23"/>
      <c r="H24" s="23"/>
      <c r="I24" s="23"/>
      <c r="J24" s="23"/>
      <c r="K24" s="23"/>
      <c r="L24" s="23"/>
    </row>
    <row r="25" spans="2:12" customFormat="1">
      <c r="B25" s="23"/>
      <c r="C25" s="23"/>
      <c r="D25" s="23"/>
      <c r="E25" s="23"/>
      <c r="F25" s="23"/>
      <c r="G25" s="23"/>
      <c r="H25" s="23"/>
      <c r="I25" s="23"/>
      <c r="J25" s="23"/>
      <c r="K25" s="23"/>
      <c r="L25" s="23"/>
    </row>
    <row r="26" spans="2:12" customFormat="1">
      <c r="B26" s="23"/>
      <c r="C26" s="23"/>
      <c r="D26" s="23"/>
      <c r="E26" s="23"/>
      <c r="F26" s="23"/>
      <c r="G26" s="23"/>
      <c r="H26" s="23"/>
      <c r="I26" s="23"/>
      <c r="J26" s="23"/>
      <c r="K26" s="23"/>
      <c r="L26" s="23"/>
    </row>
    <row r="27" spans="2:12" customFormat="1">
      <c r="B27" s="23"/>
      <c r="C27" s="23"/>
      <c r="D27" s="23"/>
      <c r="E27" s="23"/>
      <c r="F27" s="23"/>
      <c r="G27" s="23"/>
      <c r="H27" s="23"/>
      <c r="I27" s="23"/>
      <c r="J27" s="23"/>
      <c r="K27" s="23"/>
      <c r="L27" s="23"/>
    </row>
    <row r="28" spans="2:12" customFormat="1">
      <c r="B28" s="23"/>
      <c r="C28" s="23"/>
      <c r="D28" s="23"/>
      <c r="E28" s="23"/>
      <c r="F28" s="23"/>
      <c r="G28" s="23"/>
      <c r="H28" s="23"/>
      <c r="I28" s="23"/>
      <c r="J28" s="23"/>
      <c r="K28" s="23"/>
      <c r="L28" s="23"/>
    </row>
    <row r="29" spans="2:12" customFormat="1">
      <c r="B29" s="23"/>
      <c r="C29" s="23"/>
      <c r="D29" s="23"/>
      <c r="E29" s="23"/>
      <c r="F29" s="23"/>
      <c r="G29" s="23"/>
      <c r="H29" s="23"/>
      <c r="I29" s="23"/>
      <c r="J29" s="23"/>
      <c r="K29" s="23"/>
      <c r="L29" s="23"/>
    </row>
    <row r="30" spans="2:12" customFormat="1"/>
    <row r="31" spans="2:12" customFormat="1"/>
    <row r="32" spans="2:1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sheetData>
  <mergeCells count="1">
    <mergeCell ref="A1:L1"/>
  </mergeCells>
  <printOptions horizontalCentered="1" verticalCentered="1"/>
  <pageMargins left="0.4" right="0.4" top="0.25" bottom="0.25" header="0.31496062992126" footer="0.31496062992126"/>
  <pageSetup scale="66"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4:E13"/>
  <sheetViews>
    <sheetView showGridLines="0" view="pageBreakPreview" zoomScale="70" zoomScaleNormal="85" zoomScaleSheetLayoutView="70" workbookViewId="0">
      <selection activeCell="C10" sqref="C10"/>
    </sheetView>
  </sheetViews>
  <sheetFormatPr baseColWidth="10" defaultRowHeight="15"/>
  <cols>
    <col min="1" max="1" width="11.7109375" style="77" bestFit="1" customWidth="1"/>
    <col min="2" max="2" width="21.5703125" style="77" bestFit="1" customWidth="1"/>
    <col min="3" max="3" width="19.28515625" style="77" bestFit="1" customWidth="1"/>
    <col min="4" max="5" width="14.42578125" style="77" bestFit="1" customWidth="1"/>
    <col min="6" max="6" width="13.42578125" style="77" bestFit="1" customWidth="1"/>
    <col min="7" max="7" width="14.42578125" style="77" bestFit="1" customWidth="1"/>
    <col min="8" max="8" width="13.42578125" style="77" bestFit="1" customWidth="1"/>
    <col min="9" max="9" width="15.85546875" style="77" bestFit="1" customWidth="1"/>
    <col min="10" max="16384" width="11.42578125" style="77"/>
  </cols>
  <sheetData>
    <row r="4" spans="1:5" ht="25.5" customHeight="1"/>
    <row r="5" spans="1:5" ht="7.5" customHeight="1"/>
    <row r="6" spans="1:5" ht="15.75">
      <c r="A6" s="336" t="s">
        <v>25</v>
      </c>
      <c r="B6" s="1289" t="s">
        <v>783</v>
      </c>
    </row>
    <row r="7" spans="1:5" ht="15.75">
      <c r="A7" s="562" t="s">
        <v>784</v>
      </c>
      <c r="B7" s="1290">
        <f>+'IV.1.3. Ingr y egr SDSS'!J12</f>
        <v>115952658.19999999</v>
      </c>
    </row>
    <row r="8" spans="1:5" ht="15.75">
      <c r="A8" s="562">
        <v>2011</v>
      </c>
      <c r="B8" s="1290">
        <f>+'IV.1.3. Ingr y egr SDSS'!J13</f>
        <v>291946073.39999998</v>
      </c>
    </row>
    <row r="9" spans="1:5" ht="15.75">
      <c r="A9" s="562" t="s">
        <v>485</v>
      </c>
      <c r="B9" s="1290">
        <f>+'IV.1.3. Ingr y egr SDSS'!J14</f>
        <v>331635794.92000002</v>
      </c>
    </row>
    <row r="10" spans="1:5" ht="15.75">
      <c r="A10" s="562" t="s">
        <v>573</v>
      </c>
      <c r="B10" s="1290">
        <f>+'IV.1.3. Ingr y egr SDSS'!J15</f>
        <v>333800248.55999994</v>
      </c>
      <c r="E10" s="1302"/>
    </row>
    <row r="11" spans="1:5" ht="15.75">
      <c r="A11" s="562" t="s">
        <v>581</v>
      </c>
      <c r="B11" s="1290">
        <f>+'IV.1.3. Ingr y egr SDSS'!J16</f>
        <v>329249337.19999999</v>
      </c>
    </row>
    <row r="12" spans="1:5" ht="15.75">
      <c r="A12" s="562" t="s">
        <v>949</v>
      </c>
      <c r="B12" s="1290">
        <f>+'IV.1.3. Ingr y egr SDSS'!J17</f>
        <v>167965296.19999999</v>
      </c>
    </row>
    <row r="13" spans="1:5" ht="15.75">
      <c r="A13" s="1291" t="s">
        <v>23</v>
      </c>
      <c r="B13" s="1292">
        <f>SUM(B7:B12)</f>
        <v>1570549408.48</v>
      </c>
    </row>
  </sheetData>
  <pageMargins left="0.7" right="0.7" top="0.75" bottom="0.75" header="0.3" footer="0.3"/>
  <pageSetup scale="66"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5:N20"/>
  <sheetViews>
    <sheetView showGridLines="0" view="pageBreakPreview" zoomScale="70" zoomScaleNormal="85" zoomScaleSheetLayoutView="70" workbookViewId="0">
      <selection activeCell="A6" sqref="A6"/>
    </sheetView>
  </sheetViews>
  <sheetFormatPr baseColWidth="10" defaultRowHeight="15"/>
  <cols>
    <col min="1" max="1" width="11.7109375" style="77" bestFit="1" customWidth="1"/>
    <col min="2" max="2" width="18" style="77" customWidth="1"/>
    <col min="3" max="3" width="17.140625" style="77" customWidth="1"/>
    <col min="4" max="4" width="19.140625" style="77" customWidth="1"/>
    <col min="5" max="5" width="17.42578125" style="77" customWidth="1"/>
    <col min="6" max="6" width="13.42578125" style="77" bestFit="1" customWidth="1"/>
    <col min="7" max="7" width="14.42578125" style="77" bestFit="1" customWidth="1"/>
    <col min="8" max="8" width="13.42578125" style="77" bestFit="1" customWidth="1"/>
    <col min="9" max="9" width="15.85546875" style="77" bestFit="1" customWidth="1"/>
    <col min="10" max="10" width="19" style="77" customWidth="1"/>
    <col min="11" max="11" width="11.42578125" style="77"/>
    <col min="12" max="12" width="17.140625" style="77" customWidth="1"/>
    <col min="13" max="16384" width="11.42578125" style="77"/>
  </cols>
  <sheetData>
    <row r="5" spans="1:14" ht="17.25" customHeight="1"/>
    <row r="6" spans="1:14" s="1169" customFormat="1" ht="15.75">
      <c r="A6" s="531" t="s">
        <v>48</v>
      </c>
      <c r="B6" s="1293" t="s">
        <v>111</v>
      </c>
      <c r="C6" s="1293" t="s">
        <v>114</v>
      </c>
      <c r="D6" s="1293" t="s">
        <v>785</v>
      </c>
      <c r="E6" s="1294" t="s">
        <v>23</v>
      </c>
    </row>
    <row r="7" spans="1:14" ht="15.75">
      <c r="A7" s="588" t="s">
        <v>567</v>
      </c>
      <c r="B7" s="1470">
        <v>10659145.52</v>
      </c>
      <c r="C7" s="1471">
        <v>3315922.08</v>
      </c>
      <c r="D7" s="1471">
        <v>13490158.08</v>
      </c>
      <c r="E7" s="1472">
        <f t="shared" ref="E7:E19" si="0">+D7+C7+B7</f>
        <v>27465225.68</v>
      </c>
      <c r="N7" s="182"/>
    </row>
    <row r="8" spans="1:14" ht="15.75">
      <c r="A8" s="588" t="s">
        <v>568</v>
      </c>
      <c r="B8" s="1470">
        <v>10707484.68</v>
      </c>
      <c r="C8" s="1471">
        <v>3341895.36</v>
      </c>
      <c r="D8" s="1471">
        <v>13527317.52</v>
      </c>
      <c r="E8" s="1472">
        <f t="shared" si="0"/>
        <v>27576697.559999999</v>
      </c>
      <c r="N8" s="182"/>
    </row>
    <row r="9" spans="1:14" ht="15.75">
      <c r="A9" s="588" t="s">
        <v>569</v>
      </c>
      <c r="B9" s="1470">
        <v>10737065.359999999</v>
      </c>
      <c r="C9" s="1471">
        <v>3354160.52</v>
      </c>
      <c r="D9" s="1471">
        <v>13526036.16</v>
      </c>
      <c r="E9" s="1472">
        <f t="shared" si="0"/>
        <v>27617262.039999999</v>
      </c>
      <c r="N9" s="182"/>
    </row>
    <row r="10" spans="1:14" ht="15.75">
      <c r="A10" s="588" t="s">
        <v>570</v>
      </c>
      <c r="B10" s="1470">
        <v>10804884.48</v>
      </c>
      <c r="C10" s="1471">
        <v>3455167.72</v>
      </c>
      <c r="D10" s="1471">
        <v>13519629.359999999</v>
      </c>
      <c r="E10" s="1472">
        <f t="shared" si="0"/>
        <v>27779681.559999999</v>
      </c>
    </row>
    <row r="11" spans="1:14" ht="15.75">
      <c r="A11" s="588" t="s">
        <v>547</v>
      </c>
      <c r="B11" s="1470">
        <v>10853223.640000001</v>
      </c>
      <c r="C11" s="1471">
        <v>3467432.88</v>
      </c>
      <c r="D11" s="1471">
        <v>13505534.4</v>
      </c>
      <c r="E11" s="1472">
        <f t="shared" si="0"/>
        <v>27826190.920000002</v>
      </c>
    </row>
    <row r="12" spans="1:14" ht="15.75">
      <c r="A12" s="588" t="s">
        <v>588</v>
      </c>
      <c r="B12" s="1470">
        <v>10769531.960000001</v>
      </c>
      <c r="C12" s="1471">
        <v>3468875.84</v>
      </c>
      <c r="D12" s="1471">
        <v>13456842.720000001</v>
      </c>
      <c r="E12" s="1472">
        <f t="shared" si="0"/>
        <v>27695250.520000003</v>
      </c>
    </row>
    <row r="13" spans="1:14" ht="15.75">
      <c r="A13" s="588" t="s">
        <v>586</v>
      </c>
      <c r="B13" s="1470">
        <v>10900119.84</v>
      </c>
      <c r="C13" s="1471">
        <v>3483305.44</v>
      </c>
      <c r="D13" s="1471">
        <v>13497846.24</v>
      </c>
      <c r="E13" s="1472">
        <f t="shared" si="0"/>
        <v>27881271.52</v>
      </c>
    </row>
    <row r="14" spans="1:14" ht="15.75">
      <c r="A14" s="588" t="s">
        <v>587</v>
      </c>
      <c r="B14" s="1470">
        <v>10901562.800000001</v>
      </c>
      <c r="C14" s="1471">
        <v>3489798.76</v>
      </c>
      <c r="D14" s="1471">
        <v>13502971.68</v>
      </c>
      <c r="E14" s="1472">
        <f t="shared" si="0"/>
        <v>27894333.239999998</v>
      </c>
    </row>
    <row r="15" spans="1:14" ht="15.75">
      <c r="A15" s="588" t="s">
        <v>761</v>
      </c>
      <c r="B15" s="1470">
        <v>10951344.92</v>
      </c>
      <c r="C15" s="1471">
        <v>3503506.88</v>
      </c>
      <c r="D15" s="1471">
        <v>13565758.32</v>
      </c>
      <c r="E15" s="1472">
        <f t="shared" si="0"/>
        <v>28020610.119999997</v>
      </c>
    </row>
    <row r="16" spans="1:14" ht="15.75">
      <c r="A16" s="588" t="s">
        <v>909</v>
      </c>
      <c r="B16" s="1470">
        <v>10977318.199999999</v>
      </c>
      <c r="C16" s="1471">
        <v>3510000.2</v>
      </c>
      <c r="D16" s="1471">
        <v>13550382</v>
      </c>
      <c r="E16" s="1472">
        <v>28037700.399999999</v>
      </c>
    </row>
    <row r="17" spans="1:5" ht="15.75">
      <c r="A17" s="588" t="s">
        <v>917</v>
      </c>
      <c r="B17" s="1470">
        <v>10954952.32</v>
      </c>
      <c r="C17" s="1471">
        <v>3526594.24</v>
      </c>
      <c r="D17" s="1471">
        <v>13477344.48</v>
      </c>
      <c r="E17" s="1472">
        <v>27958891.039999999</v>
      </c>
    </row>
    <row r="18" spans="1:5" ht="15.75">
      <c r="A18" s="588" t="s">
        <v>931</v>
      </c>
      <c r="B18" s="1470">
        <v>10946294.560000001</v>
      </c>
      <c r="C18" s="1471">
        <v>3551846.04</v>
      </c>
      <c r="D18" s="1471">
        <v>13459405.439999999</v>
      </c>
      <c r="E18" s="1472">
        <v>27957546.039999999</v>
      </c>
    </row>
    <row r="19" spans="1:5" ht="15.75">
      <c r="A19" s="1207" t="s">
        <v>946</v>
      </c>
      <c r="B19" s="1473">
        <v>10975153.76</v>
      </c>
      <c r="C19" s="1474">
        <v>3565554.16</v>
      </c>
      <c r="D19" s="1474">
        <v>13555507.439999999</v>
      </c>
      <c r="E19" s="1475">
        <f t="shared" si="0"/>
        <v>28096215.359999999</v>
      </c>
    </row>
    <row r="20" spans="1:5">
      <c r="B20" s="182"/>
      <c r="C20" s="182"/>
      <c r="D20" s="182"/>
    </row>
  </sheetData>
  <pageMargins left="0.7" right="0.7" top="0.75" bottom="0.75" header="0.3" footer="0.3"/>
  <pageSetup scale="59"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F5:O49"/>
  <sheetViews>
    <sheetView showGridLines="0" view="pageBreakPreview" zoomScale="70" zoomScaleNormal="100" zoomScaleSheetLayoutView="70" workbookViewId="0">
      <selection activeCell="M34" sqref="M34"/>
    </sheetView>
  </sheetViews>
  <sheetFormatPr baseColWidth="10" defaultRowHeight="15"/>
  <cols>
    <col min="6" max="9" width="17.140625" customWidth="1"/>
    <col min="10" max="10" width="16.28515625" customWidth="1"/>
    <col min="11" max="11" width="26.85546875" customWidth="1"/>
    <col min="12" max="12" width="22.28515625" customWidth="1"/>
    <col min="13" max="13" width="15" customWidth="1"/>
    <col min="14" max="14" width="19.7109375" customWidth="1"/>
    <col min="15" max="15" width="11.42578125" style="208"/>
  </cols>
  <sheetData>
    <row r="5" ht="21" customHeight="1"/>
    <row r="21" spans="13:14">
      <c r="M21" s="77"/>
      <c r="N21" s="77"/>
    </row>
    <row r="22" spans="13:14">
      <c r="M22" s="77"/>
      <c r="N22" s="77"/>
    </row>
    <row r="23" spans="13:14">
      <c r="M23" s="77"/>
      <c r="N23" s="77"/>
    </row>
    <row r="24" spans="13:14">
      <c r="M24" s="77"/>
      <c r="N24" s="77"/>
    </row>
    <row r="25" spans="13:14">
      <c r="M25" s="77"/>
      <c r="N25" s="77"/>
    </row>
    <row r="26" spans="13:14">
      <c r="M26" s="77"/>
      <c r="N26" s="77"/>
    </row>
    <row r="27" spans="13:14">
      <c r="M27" s="77"/>
      <c r="N27" s="77"/>
    </row>
    <row r="28" spans="13:14">
      <c r="M28" s="77"/>
      <c r="N28" s="77"/>
    </row>
    <row r="29" spans="13:14">
      <c r="M29" s="77"/>
      <c r="N29" s="77"/>
    </row>
    <row r="30" spans="13:14">
      <c r="M30" s="77"/>
      <c r="N30" s="77"/>
    </row>
    <row r="31" spans="13:14">
      <c r="M31" s="77"/>
      <c r="N31" s="77"/>
    </row>
    <row r="32" spans="13:14">
      <c r="M32" s="77"/>
      <c r="N32" s="77"/>
    </row>
    <row r="33" spans="13:14">
      <c r="M33" s="77"/>
      <c r="N33" s="77"/>
    </row>
    <row r="34" spans="13:14">
      <c r="M34" s="77"/>
      <c r="N34" s="77"/>
    </row>
    <row r="35" spans="13:14">
      <c r="M35" s="77"/>
      <c r="N35" s="77"/>
    </row>
    <row r="36" spans="13:14">
      <c r="M36" s="77"/>
      <c r="N36" s="77"/>
    </row>
    <row r="37" spans="13:14">
      <c r="M37" s="77"/>
      <c r="N37" s="77"/>
    </row>
    <row r="38" spans="13:14">
      <c r="M38" s="77"/>
      <c r="N38" s="77"/>
    </row>
    <row r="42" spans="13:14">
      <c r="M42" s="284"/>
      <c r="N42" s="284"/>
    </row>
    <row r="43" spans="13:14">
      <c r="N43" s="182"/>
    </row>
    <row r="49" spans="6:6">
      <c r="F49" s="284"/>
    </row>
  </sheetData>
  <pageMargins left="0.7" right="0.7" top="0.75" bottom="0.75" header="0.3" footer="0.3"/>
  <pageSetup scale="64"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L43"/>
  <sheetViews>
    <sheetView showGridLines="0" view="pageBreakPreview" zoomScale="55" zoomScaleNormal="85" zoomScaleSheetLayoutView="55" workbookViewId="0">
      <selection activeCell="G10" sqref="G10"/>
    </sheetView>
  </sheetViews>
  <sheetFormatPr baseColWidth="10" defaultColWidth="11.42578125" defaultRowHeight="15"/>
  <cols>
    <col min="1" max="1" width="20.140625" style="77" customWidth="1"/>
    <col min="2" max="2" width="27.85546875" style="77" customWidth="1"/>
    <col min="3" max="3" width="34.42578125" style="77" customWidth="1"/>
    <col min="4" max="4" width="23.42578125" style="77" customWidth="1"/>
    <col min="5" max="5" width="22" style="77" bestFit="1" customWidth="1"/>
    <col min="6" max="6" width="16.7109375" style="77" customWidth="1"/>
    <col min="7" max="7" width="11.42578125" style="77"/>
    <col min="8" max="8" width="16.5703125" style="77" customWidth="1"/>
    <col min="9" max="9" width="19.42578125" style="77" customWidth="1"/>
    <col min="10" max="10" width="30.85546875" style="77" customWidth="1"/>
    <col min="11" max="11" width="15.85546875" style="77" customWidth="1"/>
    <col min="12" max="16384" width="11.42578125" style="77"/>
  </cols>
  <sheetData>
    <row r="1" spans="1:12" ht="72.75" customHeight="1">
      <c r="A1" s="1936"/>
      <c r="B1" s="1936"/>
      <c r="C1" s="1936"/>
      <c r="D1" s="1936"/>
      <c r="E1" s="1936"/>
      <c r="F1" s="1936"/>
      <c r="G1" s="1936"/>
      <c r="H1" s="1936"/>
      <c r="I1" s="1936"/>
      <c r="J1" s="1936"/>
      <c r="K1" s="1936"/>
      <c r="L1" s="1936"/>
    </row>
    <row r="2" spans="1:12" ht="15.75" customHeight="1"/>
    <row r="3" spans="1:12" ht="21.75" customHeight="1">
      <c r="A3" s="857" t="s">
        <v>25</v>
      </c>
      <c r="B3" s="855" t="s">
        <v>171</v>
      </c>
      <c r="C3" s="9"/>
      <c r="D3" s="94"/>
      <c r="E3" s="94"/>
      <c r="F3" s="94"/>
      <c r="G3" s="94"/>
      <c r="H3" s="94"/>
      <c r="I3" s="94"/>
      <c r="J3" s="94"/>
      <c r="K3" s="94"/>
    </row>
    <row r="4" spans="1:12" ht="17.25">
      <c r="A4" s="858">
        <v>2003</v>
      </c>
      <c r="B4" s="854">
        <f>+'IV.3.3.Pagos anuales x cuentas'!B12</f>
        <v>1813713639.4200003</v>
      </c>
      <c r="C4" s="1825"/>
      <c r="D4" s="921"/>
      <c r="E4" s="94"/>
      <c r="F4" s="94"/>
      <c r="G4" s="94"/>
      <c r="H4" s="94"/>
      <c r="I4" s="94"/>
      <c r="J4" s="94"/>
      <c r="K4" s="94"/>
    </row>
    <row r="5" spans="1:12" ht="16.5" customHeight="1">
      <c r="A5" s="858">
        <v>2004</v>
      </c>
      <c r="B5" s="854">
        <f>+'IV.3.3.Pagos anuales x cuentas'!C12</f>
        <v>6547406092.6799974</v>
      </c>
      <c r="C5" s="1825"/>
      <c r="D5" s="921"/>
      <c r="E5" s="94"/>
      <c r="F5" s="94"/>
      <c r="G5" s="94"/>
      <c r="H5" s="94"/>
      <c r="I5" s="94"/>
      <c r="J5" s="94"/>
      <c r="K5" s="94"/>
    </row>
    <row r="6" spans="1:12" ht="17.25">
      <c r="A6" s="858">
        <v>2005</v>
      </c>
      <c r="B6" s="854">
        <f>+'IV.3.3.Pagos anuales x cuentas'!D12</f>
        <v>8393553851.0549612</v>
      </c>
      <c r="C6" s="1825"/>
      <c r="D6" s="921"/>
      <c r="E6" s="94"/>
      <c r="F6" s="94"/>
      <c r="G6" s="94"/>
      <c r="H6" s="94"/>
      <c r="I6" s="94"/>
      <c r="J6" s="94"/>
      <c r="K6" s="94"/>
    </row>
    <row r="7" spans="1:12" ht="17.25">
      <c r="A7" s="858">
        <v>2006</v>
      </c>
      <c r="B7" s="854">
        <f>+'IV.3.3.Pagos anuales x cuentas'!E12</f>
        <v>9613650449.1000004</v>
      </c>
      <c r="C7" s="1825"/>
      <c r="D7" s="921"/>
      <c r="E7" s="94"/>
      <c r="F7" s="94"/>
      <c r="G7" s="94"/>
      <c r="H7" s="94"/>
      <c r="I7" s="94"/>
      <c r="J7" s="94"/>
      <c r="K7" s="94"/>
    </row>
    <row r="8" spans="1:12" ht="17.25">
      <c r="A8" s="858">
        <v>2007</v>
      </c>
      <c r="B8" s="854">
        <f>+'IV.3.3.Pagos anuales x cuentas'!F12</f>
        <v>14892605258.139002</v>
      </c>
      <c r="C8" s="1825"/>
      <c r="D8" s="921"/>
      <c r="E8" s="94"/>
      <c r="F8" s="94"/>
      <c r="G8" s="94"/>
      <c r="H8" s="94"/>
      <c r="I8" s="94"/>
      <c r="J8" s="94"/>
      <c r="K8" s="94"/>
    </row>
    <row r="9" spans="1:12" ht="17.25">
      <c r="A9" s="858">
        <v>2008</v>
      </c>
      <c r="B9" s="854">
        <f>+'IV.3.3.Pagos anuales x cuentas'!G12</f>
        <v>15887938438.049995</v>
      </c>
      <c r="C9" s="1825"/>
      <c r="D9" s="921"/>
      <c r="E9" s="94"/>
      <c r="F9" s="94"/>
      <c r="G9" s="94"/>
      <c r="H9" s="94"/>
      <c r="I9" s="94"/>
      <c r="J9" s="94"/>
      <c r="K9" s="94"/>
    </row>
    <row r="10" spans="1:12" ht="17.25">
      <c r="A10" s="858">
        <v>2009</v>
      </c>
      <c r="B10" s="854">
        <f>+'IV.3.3.Pagos anuales x cuentas'!H12</f>
        <v>18789773765.600002</v>
      </c>
      <c r="C10" s="1825"/>
      <c r="D10" s="921"/>
      <c r="E10" s="94"/>
      <c r="F10" s="94"/>
      <c r="G10" s="94"/>
      <c r="H10" s="94"/>
      <c r="I10" s="94"/>
      <c r="J10" s="94"/>
      <c r="K10" s="94"/>
    </row>
    <row r="11" spans="1:12" ht="17.25">
      <c r="A11" s="858">
        <v>2010</v>
      </c>
      <c r="B11" s="854">
        <f>+'IV.3.3.Pagos anuales x cuentas'!I12</f>
        <v>23938490112.329998</v>
      </c>
      <c r="C11" s="1825"/>
      <c r="D11" s="921"/>
      <c r="E11" s="94"/>
      <c r="F11" s="94"/>
      <c r="G11" s="94"/>
      <c r="H11" s="94"/>
      <c r="I11" s="94"/>
      <c r="J11" s="94"/>
      <c r="K11" s="94"/>
    </row>
    <row r="12" spans="1:12" ht="17.25">
      <c r="A12" s="858">
        <v>2011</v>
      </c>
      <c r="B12" s="854">
        <f>+'IV.3.3.Pagos anuales x cuentas'!J12</f>
        <v>23585106301.459995</v>
      </c>
      <c r="C12" s="284"/>
      <c r="D12" s="921"/>
      <c r="E12" s="9"/>
      <c r="F12" s="94"/>
      <c r="G12" s="9"/>
      <c r="H12" s="94"/>
      <c r="I12" s="94"/>
      <c r="J12" s="94"/>
      <c r="K12" s="94"/>
    </row>
    <row r="13" spans="1:12" ht="17.25">
      <c r="A13" s="858" t="s">
        <v>485</v>
      </c>
      <c r="B13" s="854">
        <f>+'IV.3.3.Pagos anuales x cuentas'!K12</f>
        <v>26400473552.349998</v>
      </c>
      <c r="C13" s="284"/>
      <c r="D13" s="921"/>
      <c r="E13" s="1825"/>
      <c r="F13" s="921"/>
      <c r="G13" s="9"/>
      <c r="H13" s="94"/>
      <c r="I13" s="94"/>
      <c r="J13" s="94"/>
      <c r="K13" s="94"/>
    </row>
    <row r="14" spans="1:12" ht="17.25">
      <c r="A14" s="858" t="s">
        <v>573</v>
      </c>
      <c r="B14" s="854">
        <f>+'IV.3.3.Pagos anuales x cuentas'!L12</f>
        <v>29506184318.749996</v>
      </c>
      <c r="C14" s="1825"/>
      <c r="D14" s="921"/>
      <c r="E14" s="94"/>
      <c r="F14" s="9"/>
      <c r="G14" s="9"/>
      <c r="H14" s="94"/>
      <c r="I14" s="94"/>
      <c r="J14" s="94"/>
      <c r="K14" s="94"/>
    </row>
    <row r="15" spans="1:12" ht="17.25">
      <c r="A15" s="858" t="s">
        <v>581</v>
      </c>
      <c r="B15" s="854">
        <f>+'IV.3.3.Pagos anuales x cuentas'!M12</f>
        <v>33591892120.470001</v>
      </c>
      <c r="C15" s="1825"/>
      <c r="D15" s="921"/>
      <c r="E15" s="94"/>
      <c r="F15" s="9"/>
      <c r="G15" s="9"/>
      <c r="H15" s="94"/>
      <c r="I15" s="94"/>
      <c r="J15" s="94"/>
      <c r="K15" s="94"/>
    </row>
    <row r="16" spans="1:12" ht="17.25">
      <c r="A16" s="858" t="s">
        <v>947</v>
      </c>
      <c r="B16" s="854">
        <v>18252505737.549999</v>
      </c>
      <c r="C16" s="1825"/>
      <c r="D16" s="921"/>
      <c r="E16" s="94"/>
      <c r="F16" s="9"/>
      <c r="G16" s="9"/>
      <c r="H16" s="94"/>
      <c r="I16" s="94"/>
      <c r="J16" s="94"/>
      <c r="K16" s="94"/>
    </row>
    <row r="17" spans="1:7" ht="17.25">
      <c r="A17" s="853" t="s">
        <v>23</v>
      </c>
      <c r="B17" s="856">
        <f>SUM(B4:B16)</f>
        <v>231213293636.95395</v>
      </c>
      <c r="C17" s="1"/>
      <c r="D17" s="39"/>
      <c r="E17" s="94"/>
      <c r="F17" s="1"/>
      <c r="G17" s="1"/>
    </row>
    <row r="18" spans="1:7">
      <c r="A18" s="1"/>
      <c r="B18" s="1"/>
      <c r="C18" s="1"/>
      <c r="E18" s="94"/>
      <c r="F18" s="1"/>
      <c r="G18" s="1"/>
    </row>
    <row r="19" spans="1:7">
      <c r="A19" s="1"/>
      <c r="B19" s="1"/>
      <c r="C19" s="1"/>
      <c r="E19" s="94"/>
      <c r="F19" s="1"/>
      <c r="G19" s="1"/>
    </row>
    <row r="20" spans="1:7">
      <c r="A20" s="1"/>
      <c r="B20" s="1"/>
      <c r="C20" s="1"/>
      <c r="D20" s="1"/>
      <c r="E20" s="1"/>
      <c r="F20" s="1"/>
      <c r="G20" s="1"/>
    </row>
    <row r="21" spans="1:7">
      <c r="A21" s="1"/>
      <c r="B21" s="1"/>
      <c r="C21" s="1"/>
      <c r="D21" s="1"/>
      <c r="E21" s="1"/>
      <c r="F21" s="1"/>
      <c r="G21" s="1"/>
    </row>
    <row r="22" spans="1:7">
      <c r="A22" s="1"/>
      <c r="B22" s="1"/>
      <c r="C22" s="1"/>
      <c r="D22" s="1"/>
      <c r="E22" s="1"/>
      <c r="F22" s="1"/>
      <c r="G22" s="1"/>
    </row>
    <row r="23" spans="1:7">
      <c r="A23" s="1"/>
      <c r="B23" s="1"/>
      <c r="C23" s="1"/>
      <c r="D23" s="1"/>
      <c r="E23" s="1"/>
      <c r="F23" s="1"/>
      <c r="G23" s="1"/>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sheetData>
  <mergeCells count="1">
    <mergeCell ref="A1:L1"/>
  </mergeCells>
  <printOptions horizontalCentered="1"/>
  <pageMargins left="0.70866141732283472" right="0.70866141732283472" top="0.33" bottom="0.74803149606299213" header="0.31496062992125984" footer="0.31496062992125984"/>
  <pageSetup scale="48" orientation="landscape" r:id="rId1"/>
  <drawing r:id="rId2"/>
  <legacyDrawing r:id="rId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S39"/>
  <sheetViews>
    <sheetView showGridLines="0" view="pageBreakPreview" zoomScale="70" zoomScaleNormal="70" zoomScaleSheetLayoutView="70" workbookViewId="0">
      <pane xSplit="1" ySplit="3" topLeftCell="B4" activePane="bottomRight" state="frozen"/>
      <selection pane="topRight" activeCell="B1" sqref="B1"/>
      <selection pane="bottomLeft" activeCell="A4" sqref="A4"/>
      <selection pane="bottomRight" activeCell="E41" sqref="E41"/>
    </sheetView>
  </sheetViews>
  <sheetFormatPr baseColWidth="10" defaultColWidth="11.5703125" defaultRowHeight="15"/>
  <cols>
    <col min="1" max="1" width="17.5703125" customWidth="1"/>
    <col min="2" max="2" width="26.5703125" style="77" bestFit="1" customWidth="1"/>
    <col min="3" max="5" width="26.5703125" bestFit="1" customWidth="1"/>
    <col min="6" max="12" width="28" bestFit="1" customWidth="1"/>
    <col min="13" max="14" width="28" style="77" bestFit="1" customWidth="1"/>
    <col min="15" max="15" width="29.85546875" bestFit="1" customWidth="1"/>
    <col min="16" max="16" width="20.42578125" bestFit="1" customWidth="1"/>
    <col min="17" max="17" width="29.42578125" customWidth="1"/>
    <col min="18" max="18" width="18.28515625" customWidth="1"/>
  </cols>
  <sheetData>
    <row r="1" spans="1:19" ht="77.25" customHeight="1">
      <c r="A1" s="1936"/>
      <c r="B1" s="1936"/>
      <c r="C1" s="1936"/>
      <c r="D1" s="1936"/>
      <c r="E1" s="1936"/>
      <c r="F1" s="1936"/>
      <c r="G1" s="1936"/>
      <c r="H1" s="1936"/>
      <c r="I1" s="1936"/>
      <c r="J1" s="1936"/>
      <c r="K1" s="1936"/>
      <c r="L1" s="1936"/>
      <c r="M1" s="1936"/>
      <c r="N1" s="1936"/>
      <c r="O1" s="1936"/>
    </row>
    <row r="2" spans="1:19" s="77" customFormat="1" ht="5.25" customHeight="1">
      <c r="A2" s="296"/>
      <c r="B2" s="295"/>
      <c r="C2" s="295"/>
      <c r="D2" s="295"/>
      <c r="E2" s="295"/>
      <c r="F2" s="295"/>
      <c r="G2" s="295"/>
      <c r="H2" s="295"/>
      <c r="I2" s="295"/>
      <c r="J2" s="295"/>
      <c r="K2" s="295"/>
      <c r="L2" s="295"/>
      <c r="M2" s="295"/>
      <c r="N2" s="295"/>
    </row>
    <row r="3" spans="1:19" ht="21" customHeight="1">
      <c r="A3" s="643" t="s">
        <v>181</v>
      </c>
      <c r="B3" s="565" t="s">
        <v>231</v>
      </c>
      <c r="C3" s="565">
        <v>2004</v>
      </c>
      <c r="D3" s="565">
        <v>2005</v>
      </c>
      <c r="E3" s="565">
        <v>2006</v>
      </c>
      <c r="F3" s="565">
        <v>2007</v>
      </c>
      <c r="G3" s="565">
        <v>2008</v>
      </c>
      <c r="H3" s="565">
        <v>2009</v>
      </c>
      <c r="I3" s="565">
        <v>2010</v>
      </c>
      <c r="J3" s="565" t="s">
        <v>249</v>
      </c>
      <c r="K3" s="565" t="s">
        <v>485</v>
      </c>
      <c r="L3" s="565" t="s">
        <v>573</v>
      </c>
      <c r="M3" s="565" t="s">
        <v>581</v>
      </c>
      <c r="N3" s="565" t="s">
        <v>969</v>
      </c>
      <c r="O3" s="575" t="s">
        <v>23</v>
      </c>
      <c r="R3" s="77"/>
    </row>
    <row r="4" spans="1:19" s="39" customFormat="1">
      <c r="A4" s="564" t="s">
        <v>78</v>
      </c>
      <c r="B4" s="563">
        <v>1450970911.5360003</v>
      </c>
      <c r="C4" s="563">
        <v>4388448532.5416241</v>
      </c>
      <c r="D4" s="563">
        <v>5761654867.9499998</v>
      </c>
      <c r="E4" s="563">
        <v>7098103492.750001</v>
      </c>
      <c r="F4" s="563">
        <v>9157024021.4599991</v>
      </c>
      <c r="G4" s="563">
        <v>10971688650.739998</v>
      </c>
      <c r="H4" s="563">
        <v>14102437235.269999</v>
      </c>
      <c r="I4" s="563">
        <v>18859679063.360001</v>
      </c>
      <c r="J4" s="563">
        <v>18145611295.329998</v>
      </c>
      <c r="K4" s="563">
        <v>20525176273.790001</v>
      </c>
      <c r="L4" s="563">
        <v>23041717787.599998</v>
      </c>
      <c r="M4" s="563">
        <v>26294772742.880001</v>
      </c>
      <c r="N4" s="563">
        <v>14352566560.82</v>
      </c>
      <c r="O4" s="576">
        <f>SUM(B4:N4)</f>
        <v>174149851436.02765</v>
      </c>
      <c r="P4" s="218"/>
      <c r="Q4" s="148"/>
      <c r="R4" s="77"/>
      <c r="S4" s="77"/>
    </row>
    <row r="5" spans="1:19" s="39" customFormat="1">
      <c r="A5" s="564" t="s">
        <v>79</v>
      </c>
      <c r="B5" s="563">
        <v>0</v>
      </c>
      <c r="C5" s="563">
        <v>572745548.09000003</v>
      </c>
      <c r="D5" s="563">
        <v>801549025.60000014</v>
      </c>
      <c r="E5" s="563">
        <v>470524902.12</v>
      </c>
      <c r="F5" s="563">
        <v>726388233.41900003</v>
      </c>
      <c r="G5" s="563">
        <v>702593218.49000001</v>
      </c>
      <c r="H5" s="563">
        <v>791490784.11000001</v>
      </c>
      <c r="I5" s="563">
        <v>935805888.13999999</v>
      </c>
      <c r="J5" s="563">
        <v>1045138743.0899999</v>
      </c>
      <c r="K5" s="563">
        <v>1032095716.16</v>
      </c>
      <c r="L5" s="563">
        <v>1079979360.3499999</v>
      </c>
      <c r="M5" s="563">
        <v>1200713160.95</v>
      </c>
      <c r="N5" s="563">
        <v>586502946.76999998</v>
      </c>
      <c r="O5" s="576">
        <f t="shared" ref="O5:O11" si="0">SUM(B5:N5)</f>
        <v>9945527527.2890015</v>
      </c>
      <c r="P5" s="218"/>
      <c r="R5" s="77"/>
      <c r="S5" s="77"/>
    </row>
    <row r="6" spans="1:19" s="39" customFormat="1">
      <c r="A6" s="564" t="s">
        <v>80</v>
      </c>
      <c r="B6" s="563">
        <v>0</v>
      </c>
      <c r="C6" s="563">
        <v>0</v>
      </c>
      <c r="D6" s="563">
        <v>0</v>
      </c>
      <c r="E6" s="563">
        <v>0</v>
      </c>
      <c r="F6" s="563">
        <v>2506661252.1800003</v>
      </c>
      <c r="G6" s="563">
        <v>1248799551.6500001</v>
      </c>
      <c r="H6" s="563">
        <v>404625934.49000001</v>
      </c>
      <c r="I6" s="98">
        <v>0</v>
      </c>
      <c r="J6" s="563">
        <v>0</v>
      </c>
      <c r="K6" s="563">
        <v>0</v>
      </c>
      <c r="L6" s="563">
        <v>0</v>
      </c>
      <c r="M6" s="563">
        <v>0</v>
      </c>
      <c r="N6" s="563">
        <v>0</v>
      </c>
      <c r="O6" s="576">
        <f t="shared" si="0"/>
        <v>4160086738.3200006</v>
      </c>
      <c r="P6" s="218"/>
      <c r="R6" s="77"/>
      <c r="S6" s="77"/>
    </row>
    <row r="7" spans="1:19" s="39" customFormat="1">
      <c r="A7" s="564" t="s">
        <v>81</v>
      </c>
      <c r="B7" s="563">
        <v>181371363.94200003</v>
      </c>
      <c r="C7" s="563">
        <v>753930807.93586206</v>
      </c>
      <c r="D7" s="563">
        <v>787020865.17999995</v>
      </c>
      <c r="E7" s="563">
        <v>905145735.52999997</v>
      </c>
      <c r="F7" s="563">
        <v>1128937194.7399998</v>
      </c>
      <c r="G7" s="563">
        <v>1354809029.5900002</v>
      </c>
      <c r="H7" s="563">
        <v>1598791980.2700002</v>
      </c>
      <c r="I7" s="563">
        <v>1839177727.5999999</v>
      </c>
      <c r="J7" s="98">
        <v>2055053729.2299998</v>
      </c>
      <c r="K7" s="563">
        <v>2278168828.7800002</v>
      </c>
      <c r="L7" s="563">
        <v>2543371766.8299999</v>
      </c>
      <c r="M7" s="563">
        <v>2879320929.98</v>
      </c>
      <c r="N7" s="563">
        <v>1573228112.5799999</v>
      </c>
      <c r="O7" s="576">
        <f t="shared" si="0"/>
        <v>19878328072.187866</v>
      </c>
      <c r="P7" s="218"/>
      <c r="R7" s="77"/>
      <c r="S7" s="77"/>
    </row>
    <row r="8" spans="1:19" s="39" customFormat="1" ht="15.75" customHeight="1">
      <c r="A8" s="564" t="s">
        <v>82</v>
      </c>
      <c r="B8" s="563">
        <v>0</v>
      </c>
      <c r="C8" s="563">
        <v>0</v>
      </c>
      <c r="D8" s="563">
        <v>44554249.010000005</v>
      </c>
      <c r="E8" s="563">
        <v>50116429.870000005</v>
      </c>
      <c r="F8" s="563">
        <v>66693954.190000013</v>
      </c>
      <c r="G8" s="563">
        <v>70260729.659999996</v>
      </c>
      <c r="H8" s="563">
        <v>75325664.86999999</v>
      </c>
      <c r="I8" s="563">
        <v>87578847.120000005</v>
      </c>
      <c r="J8" s="563">
        <v>91807218.480000004</v>
      </c>
      <c r="K8" s="563">
        <v>92110689.790000007</v>
      </c>
      <c r="L8" s="563">
        <v>84379473.989999995</v>
      </c>
      <c r="M8" s="563">
        <v>98680828.370000005</v>
      </c>
      <c r="N8" s="563">
        <v>46200541.189999998</v>
      </c>
      <c r="O8" s="576">
        <f t="shared" si="0"/>
        <v>807708626.53999996</v>
      </c>
      <c r="P8" s="218"/>
      <c r="R8" s="77"/>
      <c r="S8" s="77"/>
    </row>
    <row r="9" spans="1:19" s="39" customFormat="1">
      <c r="A9" s="564" t="s">
        <v>83</v>
      </c>
      <c r="B9" s="563">
        <v>90685681.971000016</v>
      </c>
      <c r="C9" s="563">
        <v>418581034.097597</v>
      </c>
      <c r="D9" s="563">
        <v>499326061.26086009</v>
      </c>
      <c r="E9" s="563">
        <v>539813903.23000002</v>
      </c>
      <c r="F9" s="563">
        <v>653915330.37</v>
      </c>
      <c r="G9" s="563">
        <v>775828907.30000007</v>
      </c>
      <c r="H9" s="563">
        <v>933206115.5</v>
      </c>
      <c r="I9" s="563">
        <v>1197840913.1600001</v>
      </c>
      <c r="J9" s="563">
        <v>1153613834.1200001</v>
      </c>
      <c r="K9" s="563">
        <v>1270496588.99</v>
      </c>
      <c r="L9" s="563">
        <v>1415686748.8699999</v>
      </c>
      <c r="M9" s="563">
        <v>1604198175.8299999</v>
      </c>
      <c r="N9" s="563">
        <v>867441952.57000005</v>
      </c>
      <c r="O9" s="576">
        <f t="shared" si="0"/>
        <v>11420635247.269457</v>
      </c>
      <c r="P9" s="218"/>
      <c r="R9" s="77"/>
      <c r="S9" s="77"/>
    </row>
    <row r="10" spans="1:19" s="39" customFormat="1">
      <c r="A10" s="564" t="s">
        <v>84</v>
      </c>
      <c r="B10" s="563">
        <v>18137136.394200001</v>
      </c>
      <c r="C10" s="563">
        <v>82086304.309749991</v>
      </c>
      <c r="D10" s="563">
        <v>99075487.134100005</v>
      </c>
      <c r="E10" s="563">
        <v>109989360.61999997</v>
      </c>
      <c r="F10" s="563">
        <v>130598212.33</v>
      </c>
      <c r="G10" s="563">
        <v>140123264.7405</v>
      </c>
      <c r="H10" s="1273">
        <v>132002937.52000001</v>
      </c>
      <c r="I10" s="563">
        <v>188169177.71000004</v>
      </c>
      <c r="J10" s="563">
        <v>162448764.51999998</v>
      </c>
      <c r="K10" s="563">
        <v>179079077.34999999</v>
      </c>
      <c r="L10" s="563">
        <v>199265984.22999999</v>
      </c>
      <c r="M10" s="563">
        <v>225520451.75999999</v>
      </c>
      <c r="N10" s="563">
        <v>122050058.23999999</v>
      </c>
      <c r="O10" s="576">
        <f t="shared" si="0"/>
        <v>1788546216.8585501</v>
      </c>
      <c r="P10" s="218"/>
      <c r="R10" s="77"/>
      <c r="S10" s="77"/>
    </row>
    <row r="11" spans="1:19" s="39" customFormat="1">
      <c r="A11" s="564" t="s">
        <v>467</v>
      </c>
      <c r="B11" s="563">
        <v>72548545.576800004</v>
      </c>
      <c r="C11" s="563">
        <v>331613866.00516498</v>
      </c>
      <c r="D11" s="563">
        <v>400373294.9199999</v>
      </c>
      <c r="E11" s="563">
        <v>439956624.98000002</v>
      </c>
      <c r="F11" s="563">
        <v>522387059.45000005</v>
      </c>
      <c r="G11" s="563">
        <v>623835085.87950003</v>
      </c>
      <c r="H11" s="563">
        <v>751893113.57000005</v>
      </c>
      <c r="I11" s="563">
        <v>830238495.24000001</v>
      </c>
      <c r="J11" s="563">
        <v>931432716.68999994</v>
      </c>
      <c r="K11" s="563">
        <v>1023346377.39</v>
      </c>
      <c r="L11" s="563">
        <v>1141783196.8699999</v>
      </c>
      <c r="M11" s="563">
        <v>1288685830.7</v>
      </c>
      <c r="N11" s="563">
        <v>704515565.38</v>
      </c>
      <c r="O11" s="576">
        <f t="shared" si="0"/>
        <v>9062609772.6514645</v>
      </c>
      <c r="P11" s="218"/>
      <c r="R11" s="77"/>
      <c r="S11" s="77"/>
    </row>
    <row r="12" spans="1:19" s="1210" customFormat="1" ht="18.75" customHeight="1">
      <c r="A12" s="566" t="s">
        <v>23</v>
      </c>
      <c r="B12" s="1208">
        <f t="shared" ref="B12:O12" si="1">SUM(B4:B11)</f>
        <v>1813713639.4200003</v>
      </c>
      <c r="C12" s="1208">
        <f>SUM(C4:C11)-0.3</f>
        <v>6547406092.6799974</v>
      </c>
      <c r="D12" s="1208">
        <f t="shared" si="1"/>
        <v>8393553851.0549612</v>
      </c>
      <c r="E12" s="1208">
        <f t="shared" si="1"/>
        <v>9613650449.1000004</v>
      </c>
      <c r="F12" s="1208">
        <f t="shared" si="1"/>
        <v>14892605258.139002</v>
      </c>
      <c r="G12" s="1208">
        <f t="shared" si="1"/>
        <v>15887938438.049995</v>
      </c>
      <c r="H12" s="1208">
        <f t="shared" si="1"/>
        <v>18789773765.600002</v>
      </c>
      <c r="I12" s="1208">
        <f t="shared" si="1"/>
        <v>23938490112.329998</v>
      </c>
      <c r="J12" s="1208">
        <f t="shared" si="1"/>
        <v>23585106301.459995</v>
      </c>
      <c r="K12" s="1208">
        <f>SUM(K4:K11)+0.1</f>
        <v>26400473552.349998</v>
      </c>
      <c r="L12" s="1208">
        <f>SUM(L4:L11)+0.01</f>
        <v>29506184318.749996</v>
      </c>
      <c r="M12" s="1208">
        <f t="shared" si="1"/>
        <v>33591892120.470001</v>
      </c>
      <c r="N12" s="1208">
        <f t="shared" si="1"/>
        <v>18252505737.550003</v>
      </c>
      <c r="O12" s="1209">
        <f t="shared" si="1"/>
        <v>231213293637.14401</v>
      </c>
      <c r="P12" s="1563"/>
      <c r="Q12" s="1563"/>
      <c r="R12" s="77"/>
      <c r="S12" s="77"/>
    </row>
    <row r="13" spans="1:19" s="39" customFormat="1" ht="12" customHeight="1">
      <c r="A13" s="110"/>
      <c r="B13" s="110"/>
      <c r="C13" s="1247"/>
      <c r="D13" s="110"/>
      <c r="E13" s="110"/>
      <c r="F13" s="110"/>
      <c r="G13" s="110"/>
      <c r="H13" s="110"/>
      <c r="I13" s="110"/>
      <c r="J13" s="110"/>
      <c r="K13"/>
      <c r="L13"/>
      <c r="M13" s="77"/>
      <c r="N13" s="77"/>
      <c r="O13"/>
      <c r="P13" s="563"/>
      <c r="R13" s="77"/>
      <c r="S13" s="77"/>
    </row>
    <row r="14" spans="1:19">
      <c r="A14" s="110"/>
      <c r="B14" s="110"/>
      <c r="C14" s="110"/>
      <c r="D14" s="110"/>
      <c r="E14" s="110"/>
      <c r="F14" s="110"/>
      <c r="G14" s="110"/>
      <c r="H14" s="110"/>
      <c r="I14" s="110"/>
      <c r="J14" s="110"/>
      <c r="P14" s="182"/>
      <c r="R14" s="77"/>
      <c r="S14" s="77"/>
    </row>
    <row r="15" spans="1:19">
      <c r="A15" s="37"/>
      <c r="B15" s="96"/>
      <c r="C15" s="37"/>
      <c r="D15" s="165"/>
      <c r="E15" s="165"/>
      <c r="F15" s="165"/>
      <c r="G15" s="165"/>
      <c r="H15" s="165"/>
      <c r="I15" s="165"/>
      <c r="J15" s="165"/>
      <c r="K15" s="165"/>
      <c r="L15" s="165"/>
      <c r="M15" s="165"/>
      <c r="N15" s="165"/>
      <c r="P15" s="563"/>
      <c r="R15" s="77"/>
      <c r="S15" s="77"/>
    </row>
    <row r="16" spans="1:19">
      <c r="A16" s="37"/>
      <c r="B16" s="96"/>
      <c r="C16" s="37"/>
      <c r="D16" s="165"/>
      <c r="E16" s="165"/>
      <c r="F16" s="165"/>
      <c r="G16" s="165"/>
      <c r="H16" s="165"/>
      <c r="I16" s="165"/>
      <c r="J16" s="165"/>
      <c r="K16" s="165"/>
      <c r="L16" s="165"/>
      <c r="N16" s="165"/>
    </row>
    <row r="17" spans="1:16">
      <c r="A17" s="37"/>
      <c r="B17" s="96"/>
      <c r="C17" s="37"/>
      <c r="D17" s="37"/>
      <c r="E17" s="37"/>
      <c r="F17" s="37"/>
      <c r="G17" s="37"/>
      <c r="H17" s="37"/>
      <c r="I17" s="37"/>
      <c r="J17" s="37"/>
    </row>
    <row r="18" spans="1:16">
      <c r="A18" s="37"/>
      <c r="B18" s="96"/>
      <c r="C18" s="37"/>
      <c r="D18" s="37"/>
      <c r="E18" s="37"/>
      <c r="F18" s="37"/>
      <c r="G18" s="37"/>
      <c r="H18" s="37"/>
      <c r="I18" s="37"/>
      <c r="J18" s="37"/>
      <c r="P18" s="284"/>
    </row>
    <row r="19" spans="1:16">
      <c r="A19" s="37"/>
      <c r="B19" s="96"/>
      <c r="C19" s="37"/>
      <c r="D19" s="37"/>
      <c r="E19" s="37"/>
      <c r="F19" s="37"/>
      <c r="G19" s="37"/>
      <c r="H19" s="37"/>
      <c r="I19" s="37"/>
      <c r="J19" s="37"/>
    </row>
    <row r="20" spans="1:16">
      <c r="C20" s="37"/>
      <c r="D20" s="37"/>
      <c r="E20" s="37"/>
      <c r="F20" s="37"/>
      <c r="G20" s="37"/>
      <c r="H20" s="37"/>
      <c r="I20" s="37"/>
      <c r="J20" s="37"/>
      <c r="K20" s="37"/>
      <c r="L20" s="37"/>
      <c r="M20" s="96"/>
      <c r="N20" s="96"/>
      <c r="O20" s="37"/>
    </row>
    <row r="22" spans="1:16">
      <c r="I22">
        <v>34093498.089999996</v>
      </c>
    </row>
    <row r="38" ht="58.5" customHeight="1"/>
    <row r="39" ht="51.75" customHeight="1"/>
  </sheetData>
  <mergeCells count="1">
    <mergeCell ref="A1:O1"/>
  </mergeCells>
  <printOptions horizontalCentered="1" verticalCentered="1"/>
  <pageMargins left="0.39370078740157483" right="0.39370078740157483" top="0.23622047244094491" bottom="0.23622047244094491" header="0.31496062992125984" footer="0.31496062992125984"/>
  <pageSetup scale="32" orientation="landscape" r:id="rId1"/>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M3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T64" sqref="T64"/>
    </sheetView>
  </sheetViews>
  <sheetFormatPr baseColWidth="10" defaultColWidth="11.42578125" defaultRowHeight="15"/>
  <cols>
    <col min="1" max="1" width="26.140625" style="174" customWidth="1"/>
    <col min="2" max="2" width="18.85546875" style="1132" customWidth="1"/>
    <col min="3" max="3" width="18.42578125" style="1132" customWidth="1"/>
    <col min="4" max="4" width="18.7109375" style="1132" customWidth="1"/>
    <col min="5" max="5" width="18.28515625" style="1132" customWidth="1"/>
    <col min="6" max="6" width="18.42578125" style="1132" customWidth="1"/>
    <col min="7" max="7" width="19" style="1132" customWidth="1"/>
    <col min="8" max="8" width="18.42578125" style="1132" customWidth="1"/>
    <col min="9" max="9" width="17.5703125" style="1132" customWidth="1"/>
    <col min="10" max="10" width="18.140625" style="1132" customWidth="1"/>
    <col min="11" max="11" width="22" style="1132" customWidth="1"/>
    <col min="12" max="16384" width="11.42578125" style="174"/>
  </cols>
  <sheetData>
    <row r="1" spans="1:13" s="1220" customFormat="1" ht="69.75" customHeight="1">
      <c r="A1" s="1945"/>
      <c r="B1" s="1945"/>
      <c r="C1" s="1945"/>
      <c r="D1" s="1945"/>
      <c r="E1" s="1946"/>
      <c r="F1" s="1946"/>
      <c r="G1" s="1946"/>
      <c r="H1" s="1946"/>
      <c r="I1" s="1946"/>
      <c r="J1" s="1946"/>
      <c r="K1" s="1946"/>
    </row>
    <row r="2" spans="1:13" ht="3" customHeight="1">
      <c r="A2" s="1947"/>
      <c r="B2" s="1947"/>
      <c r="C2" s="1947"/>
      <c r="D2" s="1947"/>
      <c r="E2" s="1947"/>
    </row>
    <row r="3" spans="1:13">
      <c r="A3" s="1217" t="s">
        <v>739</v>
      </c>
      <c r="B3" s="1217">
        <v>2007</v>
      </c>
      <c r="C3" s="1217">
        <v>2008</v>
      </c>
      <c r="D3" s="1217">
        <v>2009</v>
      </c>
      <c r="E3" s="1217">
        <v>2010</v>
      </c>
      <c r="F3" s="1217">
        <v>2011</v>
      </c>
      <c r="G3" s="1217">
        <v>2012</v>
      </c>
      <c r="H3" s="1217">
        <v>2013</v>
      </c>
      <c r="I3" s="1217">
        <v>2014</v>
      </c>
      <c r="J3" s="1217" t="s">
        <v>970</v>
      </c>
      <c r="K3" s="1212" t="s">
        <v>23</v>
      </c>
    </row>
    <row r="4" spans="1:13">
      <c r="A4" s="1216" t="s">
        <v>740</v>
      </c>
      <c r="B4" s="1214">
        <v>3896639289.1799998</v>
      </c>
      <c r="C4" s="1214">
        <v>4570903792.9299994</v>
      </c>
      <c r="D4" s="1214">
        <v>5127213702.0100002</v>
      </c>
      <c r="E4" s="1214">
        <v>5965945993.5299997</v>
      </c>
      <c r="F4" s="1214">
        <v>6792749911.8199997</v>
      </c>
      <c r="G4" s="1214">
        <v>7567165884.04</v>
      </c>
      <c r="H4" s="1214">
        <v>8351861912.6199999</v>
      </c>
      <c r="I4" s="1214">
        <v>9372228723.6000004</v>
      </c>
      <c r="J4" s="1214">
        <v>4975815482.1700001</v>
      </c>
      <c r="K4" s="1219">
        <f t="shared" ref="K4:K16" si="0">SUM(B4:J4)</f>
        <v>56620524691.899994</v>
      </c>
      <c r="L4" s="1136"/>
    </row>
    <row r="5" spans="1:13">
      <c r="A5" s="1216" t="s">
        <v>741</v>
      </c>
      <c r="B5" s="1214">
        <v>2551754118.0300002</v>
      </c>
      <c r="C5" s="1214">
        <v>3168698601.8099999</v>
      </c>
      <c r="D5" s="1214">
        <v>3771931923.9200001</v>
      </c>
      <c r="E5" s="1215">
        <v>4450570154.0799999</v>
      </c>
      <c r="F5" s="1215">
        <v>5054903417.1899996</v>
      </c>
      <c r="G5" s="1215">
        <v>5603825462.54</v>
      </c>
      <c r="H5" s="1215">
        <v>6226328941.2299995</v>
      </c>
      <c r="I5" s="1215">
        <v>7037206925.1000004</v>
      </c>
      <c r="J5" s="1215">
        <v>3761840386.9899998</v>
      </c>
      <c r="K5" s="1219">
        <f t="shared" si="0"/>
        <v>41627059930.889999</v>
      </c>
      <c r="L5" s="1136"/>
      <c r="M5" s="1137"/>
    </row>
    <row r="6" spans="1:13">
      <c r="A6" s="1216" t="s">
        <v>742</v>
      </c>
      <c r="B6" s="1214">
        <v>2266873888.1500001</v>
      </c>
      <c r="C6" s="1214">
        <v>2863767247.7999997</v>
      </c>
      <c r="D6" s="1214">
        <v>3229505512.04</v>
      </c>
      <c r="E6" s="1214">
        <v>3718695634.1799998</v>
      </c>
      <c r="F6" s="1214">
        <v>4137582105.3299999</v>
      </c>
      <c r="G6" s="1214">
        <v>4502729418.6199999</v>
      </c>
      <c r="H6" s="1214">
        <v>4925810752.3199997</v>
      </c>
      <c r="I6" s="1214">
        <v>5446047936.6899996</v>
      </c>
      <c r="J6" s="1214">
        <v>2870117542.8400002</v>
      </c>
      <c r="K6" s="1219">
        <f t="shared" si="0"/>
        <v>33961130037.969997</v>
      </c>
      <c r="L6" s="1136"/>
    </row>
    <row r="7" spans="1:13">
      <c r="A7" s="1216" t="s">
        <v>743</v>
      </c>
      <c r="B7" s="1214">
        <v>2149146697.4099998</v>
      </c>
      <c r="C7" s="1214">
        <v>2679324664.4199996</v>
      </c>
      <c r="D7" s="1214">
        <v>3096887625.7399998</v>
      </c>
      <c r="E7" s="1214">
        <v>3519159080.6300001</v>
      </c>
      <c r="F7" s="1214">
        <v>3941063818.23</v>
      </c>
      <c r="G7" s="1214">
        <v>4330972853.0100002</v>
      </c>
      <c r="H7" s="1214">
        <v>4805863540.1999998</v>
      </c>
      <c r="I7" s="1214">
        <v>5484476424.1499996</v>
      </c>
      <c r="J7" s="1214">
        <v>2983558965.73</v>
      </c>
      <c r="K7" s="1219">
        <f t="shared" si="0"/>
        <v>32990453669.52</v>
      </c>
      <c r="L7" s="1136"/>
    </row>
    <row r="8" spans="1:13">
      <c r="A8" s="1216" t="s">
        <v>744</v>
      </c>
      <c r="B8" s="1214">
        <v>2506661252.1799998</v>
      </c>
      <c r="C8" s="1214">
        <v>1248802102.6499996</v>
      </c>
      <c r="D8" s="1214">
        <f>404625934.49+1668779864.91</f>
        <v>2073405799.4000001</v>
      </c>
      <c r="E8" s="1214">
        <v>4533600158.2799997</v>
      </c>
      <c r="F8" s="1214">
        <v>1778670755.26</v>
      </c>
      <c r="G8" s="1214">
        <v>2480628728.6799998</v>
      </c>
      <c r="H8" s="1214">
        <v>3222408620.1399999</v>
      </c>
      <c r="I8" s="1214">
        <v>4034197568.6300001</v>
      </c>
      <c r="J8" s="1214">
        <v>2512377025.0900002</v>
      </c>
      <c r="K8" s="1219">
        <f t="shared" si="0"/>
        <v>24390752010.310001</v>
      </c>
      <c r="L8" s="1136"/>
    </row>
    <row r="9" spans="1:13">
      <c r="A9" s="1216" t="s">
        <v>745</v>
      </c>
      <c r="B9" s="1214">
        <v>774512624.44000006</v>
      </c>
      <c r="C9" s="1214">
        <v>748630146.91999948</v>
      </c>
      <c r="D9" s="1214">
        <v>840977009.04999995</v>
      </c>
      <c r="E9" s="1214">
        <v>992213304.35000002</v>
      </c>
      <c r="F9" s="1214">
        <v>1107733950.95</v>
      </c>
      <c r="G9" s="1214">
        <v>1094022671.29</v>
      </c>
      <c r="H9" s="1214">
        <v>1144491746.49</v>
      </c>
      <c r="I9" s="1214">
        <v>1272122891.76</v>
      </c>
      <c r="J9" s="1214">
        <v>621415210.28999996</v>
      </c>
      <c r="K9" s="1219">
        <f t="shared" si="0"/>
        <v>8596119555.5400009</v>
      </c>
      <c r="L9" s="1136"/>
    </row>
    <row r="10" spans="1:13">
      <c r="A10" s="1216" t="s">
        <v>746</v>
      </c>
      <c r="B10" s="1214">
        <v>127079644.02</v>
      </c>
      <c r="C10" s="1214">
        <v>141249516.77999949</v>
      </c>
      <c r="D10" s="1214">
        <v>158219635.06999999</v>
      </c>
      <c r="E10" s="1214">
        <v>174095495.24000001</v>
      </c>
      <c r="F10" s="1214">
        <v>190728829.88999999</v>
      </c>
      <c r="G10" s="1214">
        <v>206568120.59</v>
      </c>
      <c r="H10" s="1214">
        <v>208202387.41</v>
      </c>
      <c r="I10" s="1214">
        <v>222180882.56999999</v>
      </c>
      <c r="J10" s="1214">
        <v>122733187.25</v>
      </c>
      <c r="K10" s="1219">
        <f t="shared" si="0"/>
        <v>1551057698.8199995</v>
      </c>
      <c r="L10" s="1136"/>
    </row>
    <row r="11" spans="1:13">
      <c r="A11" s="1216" t="s">
        <v>747</v>
      </c>
      <c r="B11" s="1214">
        <v>130598212.33</v>
      </c>
      <c r="C11" s="1214">
        <f>10195.51+140109971.909999</f>
        <v>140120167.419999</v>
      </c>
      <c r="D11" s="1214">
        <v>132002937.52</v>
      </c>
      <c r="E11" s="1214">
        <v>188169177.71000001</v>
      </c>
      <c r="F11" s="1214">
        <v>162448764.52000001</v>
      </c>
      <c r="G11" s="1214">
        <v>179079077.34999999</v>
      </c>
      <c r="H11" s="1214">
        <v>199265984.22999999</v>
      </c>
      <c r="I11" s="1214">
        <v>225520451.75999999</v>
      </c>
      <c r="J11" s="1214">
        <v>122050058.23999999</v>
      </c>
      <c r="K11" s="1219">
        <f t="shared" si="0"/>
        <v>1479254831.079999</v>
      </c>
      <c r="L11" s="1136"/>
    </row>
    <row r="12" spans="1:13">
      <c r="A12" s="1216" t="s">
        <v>748</v>
      </c>
      <c r="B12" s="1214">
        <v>116728695.88</v>
      </c>
      <c r="C12" s="1214">
        <f>135454.64+128700283.909999</f>
        <v>128835738.549999</v>
      </c>
      <c r="D12" s="1214">
        <v>141712961.19</v>
      </c>
      <c r="E12" s="1214">
        <v>151761692.43000001</v>
      </c>
      <c r="F12" s="1214">
        <v>158251341.78999999</v>
      </c>
      <c r="G12" s="1214">
        <v>167851347.52000001</v>
      </c>
      <c r="H12" s="1214">
        <v>180758062.49000001</v>
      </c>
      <c r="I12" s="1214">
        <v>232726430.84</v>
      </c>
      <c r="J12" s="1214">
        <v>149654333.02000001</v>
      </c>
      <c r="K12" s="1219">
        <f t="shared" si="0"/>
        <v>1428280603.7099988</v>
      </c>
      <c r="L12" s="1136"/>
    </row>
    <row r="13" spans="1:13">
      <c r="A13" s="1216" t="s">
        <v>749</v>
      </c>
      <c r="B13" s="1214">
        <v>125606436.54000001</v>
      </c>
      <c r="C13" s="1214">
        <v>127343178.10999948</v>
      </c>
      <c r="D13" s="1214">
        <v>142590994.78999999</v>
      </c>
      <c r="E13" s="1214">
        <v>156700574.58000001</v>
      </c>
      <c r="F13" s="1214">
        <v>169166188</v>
      </c>
      <c r="G13" s="1214">
        <v>175519298.81999999</v>
      </c>
      <c r="H13" s="1214">
        <v>156812897.62</v>
      </c>
      <c r="I13" s="1214">
        <v>166503057</v>
      </c>
      <c r="J13" s="1214">
        <v>86743004.739999995</v>
      </c>
      <c r="K13" s="1219">
        <f t="shared" si="0"/>
        <v>1306985630.1999996</v>
      </c>
      <c r="L13" s="1136"/>
    </row>
    <row r="14" spans="1:13">
      <c r="A14" s="1216" t="s">
        <v>750</v>
      </c>
      <c r="B14" s="1214">
        <v>66693954.189999998</v>
      </c>
      <c r="C14" s="1214">
        <v>70263280.659999475</v>
      </c>
      <c r="D14" s="1214">
        <v>75325664.870000005</v>
      </c>
      <c r="E14" s="1214">
        <v>87578847.319999993</v>
      </c>
      <c r="F14" s="1214">
        <v>91807218.480000004</v>
      </c>
      <c r="G14" s="1214">
        <v>92110689.790000007</v>
      </c>
      <c r="H14" s="1214">
        <v>84379473.989999995</v>
      </c>
      <c r="I14" s="1214">
        <v>98680828.370000005</v>
      </c>
      <c r="J14" s="1214">
        <v>46200541.189999998</v>
      </c>
      <c r="K14" s="1219">
        <f t="shared" si="0"/>
        <v>713040498.85999942</v>
      </c>
      <c r="L14" s="1136"/>
    </row>
    <row r="15" spans="1:13">
      <c r="A15" s="1216" t="s">
        <v>751</v>
      </c>
      <c r="B15" s="1214">
        <v>116692988.65000001</v>
      </c>
      <c r="C15" s="1595">
        <v>0</v>
      </c>
      <c r="D15" s="1595">
        <v>0</v>
      </c>
      <c r="E15" s="1595">
        <v>0</v>
      </c>
      <c r="F15" s="1595">
        <v>0</v>
      </c>
      <c r="G15" s="1595">
        <v>0</v>
      </c>
      <c r="H15" s="1595">
        <v>0</v>
      </c>
      <c r="I15" s="1595">
        <v>0</v>
      </c>
      <c r="J15" s="1595">
        <v>0</v>
      </c>
      <c r="K15" s="1219">
        <f t="shared" si="0"/>
        <v>116692988.65000001</v>
      </c>
      <c r="L15" s="1138"/>
    </row>
    <row r="16" spans="1:13">
      <c r="A16" s="1216" t="s">
        <v>752</v>
      </c>
      <c r="B16" s="1214">
        <v>63617457.140000001</v>
      </c>
      <c r="C16" s="1595">
        <v>0</v>
      </c>
      <c r="D16" s="1595">
        <v>0</v>
      </c>
      <c r="E16" s="1595">
        <v>0</v>
      </c>
      <c r="F16" s="1595">
        <v>0</v>
      </c>
      <c r="G16" s="1595">
        <v>0</v>
      </c>
      <c r="H16" s="1595">
        <v>0</v>
      </c>
      <c r="I16" s="1595">
        <v>0</v>
      </c>
      <c r="J16" s="1595">
        <v>0</v>
      </c>
      <c r="K16" s="1219">
        <f t="shared" si="0"/>
        <v>63617457.140000001</v>
      </c>
      <c r="L16" s="1138"/>
    </row>
    <row r="17" spans="1:12">
      <c r="A17" s="1211" t="s">
        <v>739</v>
      </c>
      <c r="B17" s="1218">
        <f t="shared" ref="B17:I17" si="1">SUM(B4:B16)</f>
        <v>14892605258.140001</v>
      </c>
      <c r="C17" s="1218">
        <f>SUM(C4:C16)</f>
        <v>15887938438.049994</v>
      </c>
      <c r="D17" s="1218">
        <f t="shared" si="1"/>
        <v>18789773765.599998</v>
      </c>
      <c r="E17" s="1218">
        <f t="shared" si="1"/>
        <v>23938490112.330002</v>
      </c>
      <c r="F17" s="1218">
        <f t="shared" si="1"/>
        <v>23585106301.459999</v>
      </c>
      <c r="G17" s="1218">
        <f t="shared" si="1"/>
        <v>26400473552.25</v>
      </c>
      <c r="H17" s="1218">
        <f t="shared" si="1"/>
        <v>29506184318.740002</v>
      </c>
      <c r="I17" s="1218">
        <f t="shared" si="1"/>
        <v>33591892120.469997</v>
      </c>
      <c r="J17" s="1218">
        <f>SUM(J4:J16)</f>
        <v>18252505737.550003</v>
      </c>
      <c r="K17" s="1213">
        <f>SUM(K4:K16)</f>
        <v>204844969604.59</v>
      </c>
      <c r="L17" s="1136"/>
    </row>
    <row r="18" spans="1:12">
      <c r="A18" s="1948" t="s">
        <v>772</v>
      </c>
      <c r="B18" s="1948"/>
      <c r="C18" s="1948"/>
      <c r="D18" s="1948"/>
      <c r="E18" s="1948"/>
      <c r="F18" s="1948"/>
      <c r="G18" s="1948"/>
      <c r="H18" s="1948"/>
    </row>
    <row r="19" spans="1:12">
      <c r="A19" s="230" t="s">
        <v>771</v>
      </c>
      <c r="C19" s="1133"/>
      <c r="E19" s="1134"/>
    </row>
    <row r="20" spans="1:12">
      <c r="C20" s="174"/>
      <c r="D20" s="174"/>
      <c r="E20" s="174"/>
      <c r="F20" s="174"/>
      <c r="G20" s="174"/>
    </row>
    <row r="21" spans="1:12">
      <c r="B21" s="174"/>
      <c r="C21" s="174"/>
      <c r="D21" s="174"/>
      <c r="E21" s="174"/>
      <c r="F21" s="174"/>
      <c r="G21" s="174"/>
      <c r="H21" s="174"/>
    </row>
    <row r="22" spans="1:12">
      <c r="C22" s="174"/>
      <c r="D22" s="174"/>
      <c r="E22" s="174"/>
      <c r="F22" s="174"/>
      <c r="G22" s="174"/>
    </row>
    <row r="23" spans="1:12">
      <c r="B23" s="174"/>
      <c r="C23" s="174"/>
      <c r="D23" s="174"/>
      <c r="E23" s="174"/>
      <c r="F23" s="174"/>
      <c r="G23" s="174"/>
      <c r="H23" s="174"/>
    </row>
    <row r="24" spans="1:12">
      <c r="C24" s="174"/>
      <c r="D24" s="174"/>
      <c r="E24" s="174"/>
      <c r="F24" s="174"/>
      <c r="G24" s="174"/>
    </row>
    <row r="25" spans="1:12">
      <c r="B25" s="174"/>
      <c r="C25" s="174"/>
      <c r="D25" s="174"/>
      <c r="E25" s="174"/>
      <c r="F25" s="174"/>
      <c r="G25" s="174"/>
      <c r="H25" s="174"/>
    </row>
    <row r="26" spans="1:12">
      <c r="C26" s="174"/>
      <c r="D26" s="174"/>
      <c r="E26" s="174"/>
      <c r="F26" s="174"/>
      <c r="G26" s="174"/>
    </row>
    <row r="27" spans="1:12">
      <c r="B27" s="174"/>
      <c r="C27" s="174"/>
      <c r="D27" s="174"/>
      <c r="E27" s="174"/>
      <c r="F27" s="174"/>
      <c r="G27" s="174"/>
      <c r="H27" s="174"/>
    </row>
    <row r="28" spans="1:12">
      <c r="C28" s="174"/>
      <c r="D28" s="174"/>
      <c r="E28" s="174"/>
      <c r="F28" s="174"/>
      <c r="G28" s="174"/>
    </row>
    <row r="29" spans="1:12">
      <c r="B29" s="174"/>
      <c r="C29" s="174"/>
      <c r="D29" s="174"/>
      <c r="E29" s="174"/>
      <c r="F29" s="174"/>
      <c r="G29" s="174"/>
      <c r="H29" s="174"/>
    </row>
    <row r="30" spans="1:12">
      <c r="C30" s="174"/>
      <c r="D30" s="174"/>
      <c r="E30" s="174"/>
      <c r="F30" s="174"/>
      <c r="G30" s="174"/>
    </row>
    <row r="31" spans="1:12">
      <c r="B31" s="174"/>
      <c r="C31" s="174"/>
      <c r="D31" s="174"/>
      <c r="E31" s="174"/>
      <c r="F31" s="174"/>
      <c r="G31" s="174"/>
      <c r="H31" s="174"/>
    </row>
    <row r="33" spans="3:3">
      <c r="C33" s="1135"/>
    </row>
  </sheetData>
  <mergeCells count="3">
    <mergeCell ref="A1:K1"/>
    <mergeCell ref="A2:E2"/>
    <mergeCell ref="A18:H18"/>
  </mergeCells>
  <pageMargins left="0.7" right="0.7" top="0.75" bottom="0.75" header="0.3" footer="0.3"/>
  <pageSetup scale="54"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20"/>
  <sheetViews>
    <sheetView showGridLines="0" view="pageBreakPreview" zoomScale="85" zoomScaleNormal="100" zoomScaleSheetLayoutView="85" workbookViewId="0">
      <pane ySplit="1" topLeftCell="A2" activePane="bottomLeft" state="frozen"/>
      <selection pane="bottomLeft" activeCell="G11" sqref="G11"/>
    </sheetView>
  </sheetViews>
  <sheetFormatPr baseColWidth="10" defaultColWidth="11.42578125" defaultRowHeight="22.5" customHeight="1"/>
  <cols>
    <col min="1" max="1" width="14.85546875" style="83" customWidth="1"/>
    <col min="2" max="2" width="28.5703125" style="83" customWidth="1"/>
    <col min="3" max="3" width="17.85546875" style="83" customWidth="1"/>
    <col min="4" max="4" width="27.5703125" style="83" customWidth="1"/>
    <col min="5" max="5" width="17.5703125" style="83" customWidth="1"/>
    <col min="6" max="6" width="24.7109375" style="83" bestFit="1" customWidth="1"/>
    <col min="7" max="8" width="18.5703125" style="83" bestFit="1" customWidth="1"/>
    <col min="9" max="9" width="13.28515625" style="83" customWidth="1"/>
    <col min="10" max="10" width="15.28515625" style="83" customWidth="1"/>
    <col min="11" max="11" width="8.140625" style="83" customWidth="1"/>
    <col min="12" max="12" width="23.7109375" style="83" customWidth="1"/>
    <col min="13" max="13" width="18.5703125" style="83" bestFit="1" customWidth="1"/>
    <col min="14" max="16384" width="11.42578125" style="83"/>
  </cols>
  <sheetData>
    <row r="1" spans="1:14" ht="71.25" customHeight="1">
      <c r="A1" s="1949"/>
      <c r="B1" s="1949"/>
      <c r="C1" s="1949"/>
      <c r="D1" s="1949"/>
      <c r="E1" s="1949"/>
      <c r="F1" s="1949"/>
      <c r="G1" s="1949"/>
      <c r="H1" s="1949"/>
      <c r="I1" s="1949"/>
      <c r="J1" s="1949"/>
      <c r="K1" s="1949"/>
    </row>
    <row r="2" spans="1:14" ht="7.5" customHeight="1">
      <c r="A2" s="1950"/>
      <c r="B2" s="1950"/>
      <c r="C2" s="1950"/>
      <c r="D2" s="1950"/>
      <c r="E2" s="1950"/>
      <c r="F2" s="1950"/>
      <c r="G2" s="1950"/>
      <c r="H2" s="1950"/>
      <c r="I2" s="1950"/>
      <c r="J2" s="1950"/>
      <c r="K2" s="125"/>
    </row>
    <row r="3" spans="1:14" ht="33" customHeight="1">
      <c r="A3" s="591" t="s">
        <v>47</v>
      </c>
      <c r="B3" s="589" t="s">
        <v>933</v>
      </c>
      <c r="C3" s="589" t="s">
        <v>189</v>
      </c>
      <c r="D3" s="589" t="s">
        <v>928</v>
      </c>
      <c r="E3" s="590" t="s">
        <v>224</v>
      </c>
      <c r="L3" s="1275"/>
    </row>
    <row r="4" spans="1:14" ht="16.5" hidden="1" customHeight="1">
      <c r="A4" s="592">
        <v>2003</v>
      </c>
      <c r="B4" s="1384">
        <v>6849.88</v>
      </c>
      <c r="C4" s="1385"/>
      <c r="D4" s="1384">
        <v>617988.9</v>
      </c>
      <c r="E4" s="1386">
        <f>B4/D4</f>
        <v>1.1084147304263879E-2</v>
      </c>
      <c r="L4" s="1275"/>
    </row>
    <row r="5" spans="1:14" ht="16.5" hidden="1" customHeight="1">
      <c r="A5" s="592">
        <v>2004</v>
      </c>
      <c r="B5" s="1384">
        <v>14754.98</v>
      </c>
      <c r="C5" s="1387">
        <f t="shared" ref="C5:C11" si="0">B5/B4-1</f>
        <v>1.1540494140043327</v>
      </c>
      <c r="D5" s="1384">
        <v>909036.8</v>
      </c>
      <c r="E5" s="1386">
        <f t="shared" ref="E5:E13" si="1">B5/D5</f>
        <v>1.6231444095552567E-2</v>
      </c>
      <c r="F5" s="126"/>
      <c r="L5" s="1275"/>
    </row>
    <row r="6" spans="1:14" ht="16.5" customHeight="1">
      <c r="A6" s="592">
        <v>2005</v>
      </c>
      <c r="B6" s="1390">
        <v>23031.69</v>
      </c>
      <c r="C6" s="1391" t="s">
        <v>641</v>
      </c>
      <c r="D6" s="1388">
        <v>1020002</v>
      </c>
      <c r="E6" s="1392">
        <f t="shared" si="1"/>
        <v>2.2580043960698116E-2</v>
      </c>
      <c r="F6" s="126"/>
      <c r="L6" s="1275"/>
    </row>
    <row r="7" spans="1:14" ht="16.5" customHeight="1">
      <c r="A7" s="592">
        <v>2006</v>
      </c>
      <c r="B7" s="1393">
        <v>33521.17</v>
      </c>
      <c r="C7" s="1394">
        <f>B7/B6-1</f>
        <v>0.45543683507376143</v>
      </c>
      <c r="D7" s="1384">
        <v>1189801.8999999999</v>
      </c>
      <c r="E7" s="1395">
        <f t="shared" si="1"/>
        <v>2.817374051932511E-2</v>
      </c>
      <c r="F7" s="126"/>
      <c r="L7" s="1275"/>
    </row>
    <row r="8" spans="1:14" ht="16.5" customHeight="1">
      <c r="A8" s="592">
        <v>2007</v>
      </c>
      <c r="B8" s="1393">
        <v>48918.54</v>
      </c>
      <c r="C8" s="1394">
        <f t="shared" si="0"/>
        <v>0.45933271422208732</v>
      </c>
      <c r="D8" s="1384">
        <v>1364210.3</v>
      </c>
      <c r="E8" s="1395">
        <f t="shared" si="1"/>
        <v>3.5858503633933857E-2</v>
      </c>
      <c r="F8" s="126"/>
      <c r="G8" s="181"/>
      <c r="L8" s="1275"/>
    </row>
    <row r="9" spans="1:14" ht="16.5" customHeight="1">
      <c r="A9" s="592">
        <v>2008</v>
      </c>
      <c r="B9" s="1393">
        <v>68371.91</v>
      </c>
      <c r="C9" s="1394">
        <f t="shared" si="0"/>
        <v>0.39766865486991243</v>
      </c>
      <c r="D9" s="1384">
        <v>1576162.8</v>
      </c>
      <c r="E9" s="1395">
        <f t="shared" si="1"/>
        <v>4.3378710625577514E-2</v>
      </c>
      <c r="F9" s="126"/>
      <c r="H9" s="181"/>
      <c r="L9" s="1275"/>
    </row>
    <row r="10" spans="1:14" ht="16.5" customHeight="1">
      <c r="A10" s="592">
        <v>2009</v>
      </c>
      <c r="B10" s="1393">
        <v>94318.74</v>
      </c>
      <c r="C10" s="1394">
        <f t="shared" si="0"/>
        <v>0.37949546824127034</v>
      </c>
      <c r="D10" s="1384">
        <v>1678762.6</v>
      </c>
      <c r="E10" s="1395">
        <f>B10/D10</f>
        <v>5.6183488957878856E-2</v>
      </c>
      <c r="F10" s="126"/>
      <c r="L10" s="1275"/>
    </row>
    <row r="11" spans="1:14" ht="16.5" customHeight="1">
      <c r="A11" s="592">
        <v>2010</v>
      </c>
      <c r="B11" s="1393">
        <v>120339.19</v>
      </c>
      <c r="C11" s="1394">
        <f t="shared" si="0"/>
        <v>0.27587783721453452</v>
      </c>
      <c r="D11" s="1384">
        <v>1901896.7</v>
      </c>
      <c r="E11" s="1395">
        <f t="shared" si="1"/>
        <v>6.3273252432689955E-2</v>
      </c>
      <c r="F11" s="126"/>
      <c r="I11" s="84"/>
      <c r="J11" s="84"/>
      <c r="K11" s="84"/>
      <c r="L11" s="1275"/>
    </row>
    <row r="12" spans="1:14" s="77" customFormat="1" ht="16.5" customHeight="1">
      <c r="A12" s="592">
        <v>2011</v>
      </c>
      <c r="B12" s="1393">
        <v>154672.16</v>
      </c>
      <c r="C12" s="1394">
        <f>B12/B11-1</f>
        <v>0.28530165443194355</v>
      </c>
      <c r="D12" s="1384">
        <v>2119301.7999999998</v>
      </c>
      <c r="E12" s="1395">
        <f t="shared" si="1"/>
        <v>7.2982602100370983E-2</v>
      </c>
      <c r="F12" s="126"/>
      <c r="G12" s="48"/>
      <c r="H12" s="83"/>
      <c r="L12" s="1275"/>
      <c r="M12" s="83"/>
      <c r="N12" s="83"/>
    </row>
    <row r="13" spans="1:14" s="77" customFormat="1" ht="16.5" customHeight="1">
      <c r="A13" s="592">
        <v>2012</v>
      </c>
      <c r="B13" s="1393">
        <v>198249.65</v>
      </c>
      <c r="C13" s="1394">
        <f>B13/B12-1</f>
        <v>0.28174100626770837</v>
      </c>
      <c r="D13" s="1384">
        <v>2316783.7000000002</v>
      </c>
      <c r="E13" s="1395">
        <f t="shared" si="1"/>
        <v>8.5571065611347308E-2</v>
      </c>
      <c r="F13" s="126"/>
      <c r="H13" s="83"/>
      <c r="L13" s="1275"/>
      <c r="M13" s="83"/>
      <c r="N13" s="83"/>
    </row>
    <row r="14" spans="1:14" s="77" customFormat="1" ht="16.5" customHeight="1">
      <c r="A14" s="592">
        <v>2013</v>
      </c>
      <c r="B14" s="1393">
        <v>248516.38566900001</v>
      </c>
      <c r="C14" s="1394">
        <f>B14/B13-1</f>
        <v>0.25355270825951015</v>
      </c>
      <c r="D14" s="1384">
        <v>2534067.7999999998</v>
      </c>
      <c r="E14" s="1395">
        <f>B14/D14</f>
        <v>9.8070140691973604E-2</v>
      </c>
      <c r="F14" s="126"/>
      <c r="H14" s="83"/>
      <c r="L14" s="1275"/>
      <c r="M14" s="83"/>
      <c r="N14" s="83"/>
    </row>
    <row r="15" spans="1:14" s="77" customFormat="1" ht="16.5" customHeight="1">
      <c r="A15" s="592">
        <v>2014</v>
      </c>
      <c r="B15" s="1393">
        <v>305297.32352799998</v>
      </c>
      <c r="C15" s="1394">
        <f>B15/B14-1</f>
        <v>0.2284796541932117</v>
      </c>
      <c r="D15" s="1384">
        <v>2786229.7038019407</v>
      </c>
      <c r="E15" s="1395">
        <f>B15/D15</f>
        <v>0.10957363748990527</v>
      </c>
      <c r="F15" s="126"/>
      <c r="H15" s="83"/>
      <c r="M15" s="83"/>
      <c r="N15" s="83"/>
    </row>
    <row r="16" spans="1:14" s="77" customFormat="1" ht="16.5" customHeight="1">
      <c r="A16" s="593" t="s">
        <v>949</v>
      </c>
      <c r="B16" s="1396">
        <f>337464344515/1000000</f>
        <v>337464.344515</v>
      </c>
      <c r="C16" s="1397"/>
      <c r="D16" s="1389">
        <v>2786229.7038019407</v>
      </c>
      <c r="E16" s="1398">
        <f>B16/D16</f>
        <v>0.12111863715131388</v>
      </c>
      <c r="F16" s="126"/>
      <c r="H16" s="83"/>
      <c r="M16" s="83"/>
      <c r="N16" s="83"/>
    </row>
    <row r="17" spans="1:12" ht="15" customHeight="1">
      <c r="A17" s="1951" t="s">
        <v>432</v>
      </c>
      <c r="B17" s="1951"/>
      <c r="C17" s="1951"/>
      <c r="D17" s="1951"/>
      <c r="E17" s="1951"/>
      <c r="F17" s="126"/>
      <c r="G17" s="77"/>
      <c r="I17" s="77"/>
    </row>
    <row r="18" spans="1:12" ht="22.5" customHeight="1">
      <c r="L18" s="205"/>
    </row>
    <row r="19" spans="1:12" ht="22.5" customHeight="1">
      <c r="K19" s="85"/>
    </row>
    <row r="20" spans="1:12" ht="22.5" customHeight="1">
      <c r="K20" s="86"/>
    </row>
  </sheetData>
  <mergeCells count="3">
    <mergeCell ref="A1:K1"/>
    <mergeCell ref="A2:J2"/>
    <mergeCell ref="A17:E17"/>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N3:S31"/>
  <sheetViews>
    <sheetView showGridLines="0" view="pageBreakPreview" zoomScaleNormal="100" zoomScaleSheetLayoutView="100" workbookViewId="0">
      <selection activeCell="N34" sqref="N34"/>
    </sheetView>
  </sheetViews>
  <sheetFormatPr baseColWidth="10" defaultColWidth="11.42578125" defaultRowHeight="15"/>
  <cols>
    <col min="1" max="3" width="11.42578125" style="77"/>
    <col min="4" max="8" width="11.5703125" style="77" customWidth="1"/>
    <col min="9" max="9" width="16.7109375" style="77" customWidth="1"/>
    <col min="10" max="11" width="11.5703125" style="77" customWidth="1"/>
    <col min="12" max="12" width="11.28515625" style="77" customWidth="1"/>
    <col min="13" max="13" width="11.5703125" style="77" customWidth="1"/>
    <col min="14" max="14" width="12.140625" style="77" customWidth="1"/>
    <col min="15" max="16384" width="11.42578125" style="77"/>
  </cols>
  <sheetData>
    <row r="3" spans="14:16" ht="18.75" customHeight="1"/>
    <row r="7" spans="14:16" ht="24.75" customHeight="1"/>
    <row r="8" spans="14:16" ht="12" customHeight="1"/>
    <row r="9" spans="14:16" ht="16.5" customHeight="1"/>
    <row r="11" spans="14:16">
      <c r="P11" s="182"/>
    </row>
    <row r="12" spans="14:16">
      <c r="P12" s="182"/>
    </row>
    <row r="13" spans="14:16">
      <c r="N13" s="284"/>
      <c r="P13" s="182"/>
    </row>
    <row r="14" spans="14:16">
      <c r="O14" s="556"/>
      <c r="P14" s="182"/>
    </row>
    <row r="15" spans="14:16">
      <c r="P15" s="182"/>
    </row>
    <row r="16" spans="14:16">
      <c r="P16" s="182"/>
    </row>
    <row r="17" spans="14:19">
      <c r="P17" s="182"/>
    </row>
    <row r="18" spans="14:19">
      <c r="N18" s="182"/>
      <c r="P18" s="182"/>
      <c r="S18" s="152"/>
    </row>
    <row r="19" spans="14:19">
      <c r="N19" s="182"/>
    </row>
    <row r="21" spans="14:19">
      <c r="N21" s="556"/>
      <c r="O21" s="556"/>
    </row>
    <row r="22" spans="14:19">
      <c r="N22" s="556"/>
    </row>
    <row r="23" spans="14:19">
      <c r="N23" s="556"/>
      <c r="O23" s="556"/>
    </row>
    <row r="24" spans="14:19">
      <c r="N24" s="556"/>
      <c r="O24" s="556"/>
    </row>
    <row r="25" spans="14:19">
      <c r="N25" s="556"/>
      <c r="O25" s="556"/>
    </row>
    <row r="26" spans="14:19">
      <c r="N26" s="556"/>
      <c r="O26" s="556"/>
    </row>
    <row r="27" spans="14:19">
      <c r="N27" s="556"/>
      <c r="O27" s="556"/>
    </row>
    <row r="28" spans="14:19">
      <c r="Q28" s="977" t="s">
        <v>910</v>
      </c>
    </row>
    <row r="31" spans="14:19">
      <c r="Q31" s="284"/>
    </row>
  </sheetData>
  <pageMargins left="0.70866141732283472" right="0.70866141732283472" top="0.74803149606299213" bottom="0.74803149606299213" header="0.31496062992125984" footer="0.31496062992125984"/>
  <pageSetup scale="79"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J29"/>
  <sheetViews>
    <sheetView showGridLines="0" view="pageBreakPreview" zoomScale="70" zoomScaleNormal="100" zoomScaleSheetLayoutView="70" workbookViewId="0">
      <selection activeCell="F8" sqref="F8"/>
    </sheetView>
  </sheetViews>
  <sheetFormatPr baseColWidth="10" defaultColWidth="11.42578125" defaultRowHeight="15"/>
  <cols>
    <col min="1" max="1" width="43.42578125" style="599" customWidth="1"/>
    <col min="2" max="2" width="28.140625" style="599" customWidth="1"/>
    <col min="3" max="3" width="18" style="599" customWidth="1"/>
    <col min="4" max="4" width="18.7109375" style="599" customWidth="1"/>
    <col min="5" max="5" width="14" style="599" customWidth="1"/>
    <col min="6" max="6" width="10.7109375" style="599" customWidth="1"/>
    <col min="7" max="7" width="17.140625" style="599" customWidth="1"/>
    <col min="8" max="8" width="20.85546875" style="599" customWidth="1"/>
    <col min="9" max="16384" width="11.42578125" style="599"/>
  </cols>
  <sheetData>
    <row r="1" spans="1:8" ht="64.5" customHeight="1">
      <c r="A1" s="1882"/>
      <c r="B1" s="1882"/>
      <c r="C1" s="1882"/>
      <c r="D1" s="1882"/>
      <c r="E1" s="1882"/>
      <c r="F1" s="1882"/>
      <c r="G1" s="1882"/>
      <c r="H1" s="1882"/>
    </row>
    <row r="2" spans="1:8" ht="16.5" customHeight="1"/>
    <row r="3" spans="1:8" ht="18.75" customHeight="1">
      <c r="A3" s="605" t="s">
        <v>614</v>
      </c>
      <c r="B3" s="606" t="s">
        <v>438</v>
      </c>
      <c r="C3" s="605" t="s">
        <v>615</v>
      </c>
    </row>
    <row r="4" spans="1:8" ht="15.75">
      <c r="A4" s="608" t="s">
        <v>616</v>
      </c>
      <c r="B4" s="1476">
        <v>148605878468.64001</v>
      </c>
      <c r="C4" s="1477">
        <f t="shared" ref="C4:C11" si="0">B4/$B$12</f>
        <v>0.47871347084633153</v>
      </c>
    </row>
    <row r="5" spans="1:8" ht="15.75">
      <c r="A5" s="608" t="s">
        <v>617</v>
      </c>
      <c r="B5" s="1476">
        <v>9318223551.7099991</v>
      </c>
      <c r="C5" s="1477">
        <f t="shared" si="0"/>
        <v>3.0017380096457418E-2</v>
      </c>
    </row>
    <row r="6" spans="1:8" ht="15.75">
      <c r="A6" s="608" t="s">
        <v>618</v>
      </c>
      <c r="B6" s="1476">
        <v>83570007185.960007</v>
      </c>
      <c r="C6" s="1477">
        <f t="shared" si="0"/>
        <v>0.26920932476494314</v>
      </c>
      <c r="D6" s="1564"/>
    </row>
    <row r="7" spans="1:8" ht="15.75">
      <c r="A7" s="608" t="s">
        <v>619</v>
      </c>
      <c r="B7" s="1476">
        <v>1244513378.8299999</v>
      </c>
      <c r="C7" s="1477">
        <f t="shared" si="0"/>
        <v>4.0090292876275944E-3</v>
      </c>
    </row>
    <row r="8" spans="1:8" ht="15.75">
      <c r="A8" s="608" t="s">
        <v>620</v>
      </c>
      <c r="B8" s="1476">
        <v>881129804.83000004</v>
      </c>
      <c r="C8" s="1477">
        <f t="shared" si="0"/>
        <v>2.8384389062060789E-3</v>
      </c>
    </row>
    <row r="9" spans="1:8" ht="15.75">
      <c r="A9" s="608" t="s">
        <v>226</v>
      </c>
      <c r="B9" s="1476">
        <v>7333431186.6700001</v>
      </c>
      <c r="C9" s="1477">
        <f t="shared" si="0"/>
        <v>2.3623643511009321E-2</v>
      </c>
      <c r="D9" s="1564"/>
    </row>
    <row r="10" spans="1:8" ht="15.75">
      <c r="A10" s="608" t="s">
        <v>621</v>
      </c>
      <c r="B10" s="1476">
        <v>59131422877.260002</v>
      </c>
      <c r="C10" s="1477">
        <f t="shared" si="0"/>
        <v>0.19048377475611691</v>
      </c>
    </row>
    <row r="11" spans="1:8" ht="15.75">
      <c r="A11" s="608" t="s">
        <v>622</v>
      </c>
      <c r="B11" s="1476">
        <v>343003209.80000001</v>
      </c>
      <c r="C11" s="1477">
        <f t="shared" si="0"/>
        <v>1.1049378313082096E-3</v>
      </c>
    </row>
    <row r="12" spans="1:8" ht="15.75">
      <c r="A12" s="605" t="s">
        <v>23</v>
      </c>
      <c r="B12" s="607">
        <f>SUM(B4:B11)</f>
        <v>310427609663.69995</v>
      </c>
      <c r="C12" s="1478">
        <f>SUM(C4:C11)</f>
        <v>1</v>
      </c>
    </row>
    <row r="13" spans="1:8">
      <c r="A13" s="600" t="s">
        <v>981</v>
      </c>
      <c r="B13" s="46"/>
      <c r="C13" s="601"/>
    </row>
    <row r="21" spans="10:10">
      <c r="J21" s="600"/>
    </row>
    <row r="27" spans="10:10">
      <c r="J27" s="600"/>
    </row>
    <row r="29" spans="10:10">
      <c r="J29" s="600"/>
    </row>
  </sheetData>
  <mergeCells count="1">
    <mergeCell ref="A1:H1"/>
  </mergeCells>
  <printOptions horizontalCentered="1" verticalCentered="1"/>
  <pageMargins left="0.4" right="0.4" top="0.25" bottom="0.25" header="0.3" footer="0.3"/>
  <pageSetup scale="67"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31"/>
  <sheetViews>
    <sheetView showGridLines="0" view="pageBreakPreview" zoomScale="70" zoomScaleNormal="100" zoomScaleSheetLayoutView="70" workbookViewId="0">
      <selection activeCell="I35" sqref="I35"/>
    </sheetView>
  </sheetViews>
  <sheetFormatPr baseColWidth="10" defaultColWidth="11.42578125" defaultRowHeight="15"/>
  <cols>
    <col min="1" max="1" width="33.85546875" style="174" customWidth="1"/>
    <col min="2" max="2" width="26.28515625" style="174" customWidth="1"/>
    <col min="3" max="3" width="15" style="174" customWidth="1"/>
    <col min="4" max="4" width="21.28515625" style="174" customWidth="1"/>
    <col min="5" max="5" width="18.85546875" style="174" bestFit="1" customWidth="1"/>
    <col min="6" max="6" width="20" style="174" customWidth="1"/>
    <col min="7" max="7" width="28.140625" style="174" customWidth="1"/>
    <col min="8" max="8" width="23.42578125" style="174" customWidth="1"/>
    <col min="9" max="16384" width="11.42578125" style="174"/>
  </cols>
  <sheetData>
    <row r="1" spans="1:9" ht="68.25" customHeight="1">
      <c r="A1" s="1952"/>
      <c r="B1" s="1953"/>
      <c r="C1" s="1953"/>
      <c r="D1" s="1953"/>
      <c r="E1" s="1953"/>
      <c r="F1" s="1953"/>
      <c r="G1" s="1953"/>
      <c r="H1" s="1953"/>
      <c r="I1" s="173"/>
    </row>
    <row r="2" spans="1:9" ht="6.75" customHeight="1">
      <c r="A2" s="1947"/>
      <c r="B2" s="1947"/>
      <c r="C2" s="1947"/>
    </row>
    <row r="3" spans="1:9" ht="15.75">
      <c r="A3" s="594" t="s">
        <v>437</v>
      </c>
      <c r="B3" s="597" t="s">
        <v>438</v>
      </c>
      <c r="C3" s="598" t="s">
        <v>44</v>
      </c>
    </row>
    <row r="4" spans="1:9">
      <c r="A4" s="611" t="s">
        <v>439</v>
      </c>
      <c r="B4" s="596">
        <v>59131422877.260002</v>
      </c>
      <c r="C4" s="612">
        <v>0.19048377475611691</v>
      </c>
      <c r="D4" s="596"/>
    </row>
    <row r="5" spans="1:9">
      <c r="A5" s="611" t="s">
        <v>461</v>
      </c>
      <c r="B5" s="596">
        <v>30880718160.110001</v>
      </c>
      <c r="C5" s="612">
        <v>9.9478001307823291E-2</v>
      </c>
      <c r="D5" s="596"/>
    </row>
    <row r="6" spans="1:9">
      <c r="A6" s="611" t="s">
        <v>919</v>
      </c>
      <c r="B6" s="596">
        <v>881129804.83000004</v>
      </c>
      <c r="C6" s="612">
        <v>2.8384389062060789E-3</v>
      </c>
      <c r="D6" s="596"/>
    </row>
    <row r="7" spans="1:9">
      <c r="A7" s="611" t="s">
        <v>462</v>
      </c>
      <c r="B7" s="609">
        <v>117725160308.53</v>
      </c>
      <c r="C7" s="612">
        <v>0.37923546953850823</v>
      </c>
      <c r="D7" s="596"/>
      <c r="E7" s="175"/>
      <c r="F7" s="175"/>
    </row>
    <row r="8" spans="1:9">
      <c r="A8" s="611" t="s">
        <v>448</v>
      </c>
      <c r="B8" s="596">
        <v>71362475814.600006</v>
      </c>
      <c r="C8" s="612">
        <v>0.2298844355111008</v>
      </c>
      <c r="D8" s="596"/>
    </row>
    <row r="9" spans="1:9">
      <c r="A9" s="611" t="s">
        <v>623</v>
      </c>
      <c r="B9" s="596">
        <v>11048963116.690001</v>
      </c>
      <c r="C9" s="612">
        <v>3.5592720404798509E-2</v>
      </c>
      <c r="D9" s="596"/>
      <c r="E9" s="175"/>
    </row>
    <row r="10" spans="1:9">
      <c r="A10" s="611" t="s">
        <v>440</v>
      </c>
      <c r="B10" s="596">
        <v>18398930293.359997</v>
      </c>
      <c r="C10" s="612">
        <v>5.9269632341312606E-2</v>
      </c>
      <c r="D10" s="596"/>
    </row>
    <row r="11" spans="1:9">
      <c r="A11" s="611" t="s">
        <v>441</v>
      </c>
      <c r="B11" s="596">
        <v>343003209.80000001</v>
      </c>
      <c r="C11" s="612">
        <v>1.1049378313082096E-3</v>
      </c>
      <c r="D11" s="1565"/>
      <c r="E11" s="175"/>
    </row>
    <row r="12" spans="1:9">
      <c r="A12" s="611" t="s">
        <v>442</v>
      </c>
      <c r="B12" s="596">
        <v>655806078.51999998</v>
      </c>
      <c r="C12" s="612">
        <v>2.1125894028255539E-3</v>
      </c>
      <c r="D12" s="1565"/>
    </row>
    <row r="13" spans="1:9">
      <c r="A13" s="595" t="s">
        <v>443</v>
      </c>
      <c r="B13" s="610">
        <v>310427609663.69995</v>
      </c>
      <c r="C13" s="613">
        <v>1.0000000000000002</v>
      </c>
      <c r="D13" s="175"/>
    </row>
    <row r="14" spans="1:9">
      <c r="A14" s="230" t="s">
        <v>980</v>
      </c>
      <c r="B14" s="176"/>
      <c r="F14" s="175"/>
    </row>
    <row r="15" spans="1:9">
      <c r="B15" s="176"/>
    </row>
    <row r="16" spans="1:9">
      <c r="B16" s="176"/>
    </row>
    <row r="17" spans="2:2">
      <c r="B17" s="176"/>
    </row>
    <row r="18" spans="2:2">
      <c r="B18" s="176"/>
    </row>
    <row r="19" spans="2:2">
      <c r="B19" s="176"/>
    </row>
    <row r="20" spans="2:2">
      <c r="B20" s="176"/>
    </row>
    <row r="21" spans="2:2">
      <c r="B21" s="176"/>
    </row>
    <row r="22" spans="2:2">
      <c r="B22" s="176"/>
    </row>
    <row r="23" spans="2:2">
      <c r="B23" s="176"/>
    </row>
    <row r="24" spans="2:2">
      <c r="B24" s="176"/>
    </row>
    <row r="25" spans="2:2">
      <c r="B25" s="176"/>
    </row>
    <row r="26" spans="2:2">
      <c r="B26" s="176"/>
    </row>
    <row r="27" spans="2:2">
      <c r="B27" s="176"/>
    </row>
    <row r="28" spans="2:2">
      <c r="B28" s="176"/>
    </row>
    <row r="29" spans="2:2">
      <c r="B29" s="176"/>
    </row>
    <row r="30" spans="2:2">
      <c r="B30" s="176"/>
    </row>
    <row r="31" spans="2:2">
      <c r="B31" s="176"/>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62"/>
  <sheetViews>
    <sheetView showGridLines="0" view="pageBreakPreview" zoomScale="55" zoomScaleNormal="100" zoomScaleSheetLayoutView="55" workbookViewId="0">
      <selection activeCell="F59" sqref="F59"/>
    </sheetView>
  </sheetViews>
  <sheetFormatPr baseColWidth="10" defaultColWidth="11.42578125" defaultRowHeight="15"/>
  <cols>
    <col min="1" max="1" width="17.28515625" style="87" customWidth="1"/>
    <col min="2" max="2" width="17.7109375" style="87" customWidth="1"/>
    <col min="3" max="3" width="21.140625" style="87" customWidth="1"/>
    <col min="4" max="12" width="11.42578125" style="87"/>
    <col min="13" max="13" width="10.85546875" style="87" customWidth="1"/>
    <col min="14" max="14" width="18" style="87" customWidth="1"/>
    <col min="15" max="15" width="11.140625" style="87" customWidth="1"/>
    <col min="16" max="16" width="11.42578125" style="87" customWidth="1"/>
    <col min="17" max="17" width="9.5703125" style="87" customWidth="1"/>
    <col min="18" max="16384" width="11.42578125" style="87"/>
  </cols>
  <sheetData>
    <row r="1" spans="1:19" ht="72" customHeight="1">
      <c r="A1" s="1882"/>
      <c r="B1" s="1882"/>
      <c r="C1" s="1882"/>
      <c r="D1" s="1882"/>
      <c r="E1" s="1882"/>
      <c r="F1" s="1882"/>
      <c r="G1" s="1882"/>
      <c r="H1" s="1882"/>
      <c r="I1" s="1882"/>
      <c r="J1" s="1882"/>
      <c r="K1" s="1882"/>
      <c r="L1" s="1882"/>
      <c r="M1" s="1882"/>
      <c r="N1" s="1882"/>
      <c r="O1" s="1882"/>
      <c r="P1" s="1882"/>
      <c r="Q1" s="1882"/>
      <c r="R1" s="1882"/>
      <c r="S1" s="1882"/>
    </row>
    <row r="2" spans="1:19" ht="17.25" customHeight="1">
      <c r="A2" s="1957" t="s">
        <v>642</v>
      </c>
      <c r="B2" s="1957"/>
      <c r="C2" s="1957"/>
      <c r="D2" s="1957"/>
      <c r="E2" s="1957"/>
      <c r="F2" s="1957"/>
      <c r="G2" s="1957"/>
      <c r="H2" s="1957"/>
      <c r="I2" s="1957"/>
      <c r="J2" s="1957"/>
      <c r="K2" s="1957"/>
      <c r="L2" s="1957"/>
      <c r="M2" s="1957"/>
      <c r="N2" s="1957"/>
      <c r="O2" s="1957"/>
      <c r="P2" s="1957"/>
      <c r="Q2" s="1957"/>
      <c r="R2" s="1957"/>
      <c r="S2" s="1957"/>
    </row>
    <row r="3" spans="1:19" ht="39.75" customHeight="1">
      <c r="A3" s="1954" t="s">
        <v>176</v>
      </c>
      <c r="B3" s="1955"/>
      <c r="C3" s="1956"/>
      <c r="D3" s="107"/>
      <c r="E3" s="107"/>
      <c r="F3" s="107"/>
      <c r="G3" s="107"/>
      <c r="H3" s="107"/>
      <c r="I3" s="107"/>
      <c r="J3" s="107"/>
      <c r="K3" s="107"/>
      <c r="L3" s="107"/>
      <c r="M3" s="107"/>
      <c r="N3" s="107"/>
      <c r="O3" s="107"/>
      <c r="P3" s="107"/>
      <c r="Q3" s="107"/>
    </row>
    <row r="4" spans="1:19" ht="39.75" customHeight="1">
      <c r="A4" s="883" t="s">
        <v>47</v>
      </c>
      <c r="B4" s="1467" t="s">
        <v>175</v>
      </c>
      <c r="C4" s="1468" t="s">
        <v>174</v>
      </c>
      <c r="D4" s="107"/>
      <c r="E4" s="107"/>
      <c r="F4" s="107"/>
      <c r="G4" s="616"/>
      <c r="H4" s="616"/>
      <c r="I4" s="616"/>
      <c r="J4" s="616"/>
      <c r="K4" s="616"/>
      <c r="L4" s="107"/>
      <c r="M4" s="107"/>
      <c r="N4" s="107"/>
      <c r="O4" s="107"/>
      <c r="P4" s="107"/>
      <c r="Q4" s="107"/>
    </row>
    <row r="5" spans="1:19" ht="15.75" hidden="1" customHeight="1">
      <c r="A5" s="884">
        <v>37956</v>
      </c>
      <c r="B5" s="1479">
        <v>0.24099999999999999</v>
      </c>
      <c r="C5" s="1480">
        <v>0.23569999999999999</v>
      </c>
      <c r="D5" s="107"/>
      <c r="E5" s="107"/>
      <c r="F5" s="107"/>
      <c r="G5" s="616"/>
      <c r="H5" s="616"/>
      <c r="I5" s="616"/>
      <c r="J5" s="616"/>
      <c r="K5" s="616"/>
      <c r="L5" s="107"/>
      <c r="M5" s="107"/>
      <c r="N5" s="107"/>
      <c r="O5" s="107"/>
      <c r="P5" s="107"/>
      <c r="Q5" s="107"/>
    </row>
    <row r="6" spans="1:19" ht="15.75" hidden="1" customHeight="1">
      <c r="A6" s="884">
        <v>38139</v>
      </c>
      <c r="B6" s="1479">
        <v>0.25180000000000002</v>
      </c>
      <c r="C6" s="1480">
        <v>0.24979999999999999</v>
      </c>
      <c r="D6" s="107"/>
      <c r="E6" s="107"/>
      <c r="F6" s="107"/>
      <c r="G6" s="616"/>
      <c r="H6" s="616"/>
      <c r="I6" s="616"/>
      <c r="J6" s="616"/>
      <c r="K6" s="616"/>
      <c r="L6" s="107"/>
      <c r="M6" s="107"/>
      <c r="N6" s="107"/>
      <c r="O6" s="107"/>
      <c r="P6" s="107"/>
      <c r="Q6" s="107"/>
    </row>
    <row r="7" spans="1:19" ht="15.75" hidden="1" customHeight="1">
      <c r="A7" s="884">
        <v>38322</v>
      </c>
      <c r="B7" s="1479">
        <v>0.22989999999999999</v>
      </c>
      <c r="C7" s="1480">
        <v>0.2384</v>
      </c>
      <c r="D7" s="107"/>
      <c r="E7" s="107"/>
      <c r="F7" s="107"/>
      <c r="G7" s="616"/>
      <c r="H7" s="616"/>
      <c r="I7" s="616"/>
      <c r="J7" s="616"/>
      <c r="K7" s="616"/>
      <c r="L7" s="107"/>
      <c r="M7" s="107"/>
      <c r="N7" s="107"/>
      <c r="O7" s="107"/>
      <c r="P7" s="107"/>
      <c r="Q7" s="107"/>
    </row>
    <row r="8" spans="1:19" ht="1.5" hidden="1" customHeight="1">
      <c r="A8" s="884">
        <v>38504</v>
      </c>
      <c r="B8" s="1479">
        <v>0.19919999999999999</v>
      </c>
      <c r="C8" s="1480">
        <v>0.2041</v>
      </c>
      <c r="D8" s="107"/>
      <c r="E8" s="107"/>
      <c r="F8" s="107"/>
      <c r="G8" s="616"/>
      <c r="H8" s="616"/>
      <c r="I8" s="616"/>
      <c r="J8" s="616"/>
      <c r="K8" s="616"/>
      <c r="L8" s="107"/>
      <c r="M8" s="107"/>
      <c r="N8" s="107"/>
      <c r="O8" s="107"/>
      <c r="P8" s="107"/>
      <c r="Q8" s="107"/>
    </row>
    <row r="9" spans="1:19" ht="24.75" customHeight="1">
      <c r="A9" s="884">
        <v>38687</v>
      </c>
      <c r="B9" s="1479">
        <v>0.1709</v>
      </c>
      <c r="C9" s="1480">
        <v>0.1696</v>
      </c>
      <c r="D9" s="107"/>
      <c r="E9" s="107"/>
      <c r="F9" s="107"/>
      <c r="G9" s="616"/>
      <c r="H9" s="616"/>
      <c r="I9" s="616"/>
      <c r="J9" s="616"/>
      <c r="K9" s="616"/>
      <c r="L9" s="107"/>
      <c r="M9" s="107"/>
      <c r="N9" s="107"/>
      <c r="O9" s="107"/>
      <c r="P9" s="107"/>
      <c r="Q9" s="107"/>
    </row>
    <row r="10" spans="1:19" ht="18.75">
      <c r="A10" s="884">
        <v>38869</v>
      </c>
      <c r="B10" s="1479">
        <v>0.13300000000000001</v>
      </c>
      <c r="C10" s="1480">
        <v>0.13469999999999999</v>
      </c>
      <c r="D10" s="107"/>
      <c r="E10" s="107"/>
      <c r="F10" s="107"/>
      <c r="G10" s="616"/>
      <c r="H10" s="616"/>
      <c r="I10" s="616"/>
      <c r="J10" s="616"/>
      <c r="K10" s="616"/>
      <c r="L10" s="107"/>
      <c r="M10" s="107"/>
      <c r="N10" s="107"/>
      <c r="O10" s="107"/>
      <c r="P10" s="107"/>
      <c r="Q10" s="107"/>
    </row>
    <row r="11" spans="1:19" ht="18.75">
      <c r="A11" s="884">
        <v>39052</v>
      </c>
      <c r="B11" s="1479">
        <v>0.1147</v>
      </c>
      <c r="C11" s="1480">
        <v>0.1148</v>
      </c>
      <c r="D11" s="107"/>
      <c r="E11" s="107"/>
      <c r="F11" s="107"/>
      <c r="G11" s="616"/>
      <c r="H11" s="616"/>
      <c r="I11" s="616"/>
      <c r="J11" s="616"/>
      <c r="K11" s="616"/>
      <c r="L11" s="107"/>
      <c r="M11" s="107"/>
      <c r="N11" s="107"/>
      <c r="O11" s="107"/>
      <c r="P11" s="107"/>
      <c r="Q11" s="107"/>
    </row>
    <row r="12" spans="1:19" ht="15.75" hidden="1" customHeight="1">
      <c r="A12" s="884">
        <v>39234</v>
      </c>
      <c r="B12" s="1479">
        <v>9.4399999999999998E-2</v>
      </c>
      <c r="C12" s="1480">
        <v>9.4200000000000006E-2</v>
      </c>
      <c r="D12" s="107"/>
      <c r="E12" s="107"/>
      <c r="F12" s="107"/>
      <c r="G12" s="616"/>
      <c r="H12" s="616"/>
      <c r="I12" s="616"/>
      <c r="J12" s="616"/>
      <c r="K12" s="616"/>
      <c r="L12" s="107"/>
      <c r="M12" s="107"/>
      <c r="N12" s="107"/>
      <c r="O12" s="107"/>
      <c r="P12" s="107"/>
      <c r="Q12" s="107"/>
    </row>
    <row r="13" spans="1:19" ht="15.75" hidden="1" customHeight="1">
      <c r="A13" s="884">
        <v>39417</v>
      </c>
      <c r="B13" s="1479">
        <v>8.48E-2</v>
      </c>
      <c r="C13" s="1480">
        <v>8.4400000000000003E-2</v>
      </c>
      <c r="D13" s="107"/>
      <c r="E13" s="107"/>
      <c r="F13" s="107"/>
      <c r="G13" s="616"/>
      <c r="H13" s="616"/>
      <c r="I13" s="616"/>
      <c r="J13" s="616"/>
      <c r="K13" s="616"/>
      <c r="L13" s="107"/>
      <c r="M13" s="107"/>
      <c r="N13" s="107"/>
      <c r="O13" s="107"/>
      <c r="P13" s="107"/>
      <c r="Q13" s="107"/>
    </row>
    <row r="14" spans="1:19" ht="18.75" hidden="1">
      <c r="A14" s="884">
        <v>39600</v>
      </c>
      <c r="B14" s="1479">
        <v>8.6699999999999999E-2</v>
      </c>
      <c r="C14" s="1480">
        <v>9.06E-2</v>
      </c>
      <c r="D14" s="107"/>
      <c r="E14" s="107"/>
      <c r="F14" s="107"/>
      <c r="G14" s="616"/>
      <c r="H14" s="616"/>
      <c r="I14" s="616"/>
      <c r="J14" s="616"/>
      <c r="K14" s="616"/>
      <c r="L14" s="107"/>
      <c r="M14" s="107"/>
      <c r="N14" s="107"/>
      <c r="O14" s="107"/>
      <c r="P14" s="107"/>
      <c r="Q14" s="107"/>
    </row>
    <row r="15" spans="1:19" ht="18.75">
      <c r="A15" s="884">
        <v>39783</v>
      </c>
      <c r="B15" s="1479">
        <v>0.1208</v>
      </c>
      <c r="C15" s="1480">
        <v>0.13009999999999999</v>
      </c>
      <c r="D15" s="107"/>
      <c r="E15" s="107"/>
      <c r="F15" s="107"/>
      <c r="G15" s="616"/>
      <c r="H15" s="616"/>
      <c r="I15" s="616"/>
      <c r="J15" s="616"/>
      <c r="K15" s="616"/>
      <c r="L15" s="107"/>
      <c r="M15" s="107"/>
      <c r="N15" s="107"/>
      <c r="O15" s="107"/>
      <c r="P15" s="107"/>
      <c r="Q15" s="107"/>
    </row>
    <row r="16" spans="1:19" ht="18.75">
      <c r="A16" s="884">
        <v>39965</v>
      </c>
      <c r="B16" s="1479">
        <v>0.15529999999999999</v>
      </c>
      <c r="C16" s="1480">
        <v>0.161</v>
      </c>
      <c r="D16" s="107"/>
      <c r="E16" s="107"/>
      <c r="F16" s="107"/>
      <c r="G16" s="616"/>
      <c r="H16" s="616"/>
      <c r="I16" s="616"/>
      <c r="J16" s="616"/>
      <c r="K16" s="616"/>
      <c r="L16" s="107"/>
      <c r="M16" s="107"/>
      <c r="N16" s="107"/>
      <c r="O16" s="107"/>
      <c r="P16" s="107"/>
      <c r="Q16" s="107"/>
    </row>
    <row r="17" spans="1:17" ht="18.75">
      <c r="A17" s="884">
        <v>40148</v>
      </c>
      <c r="B17" s="1479">
        <v>0.1404</v>
      </c>
      <c r="C17" s="1480">
        <v>0.14330000000000001</v>
      </c>
      <c r="D17" s="107"/>
      <c r="E17" s="107"/>
      <c r="F17" s="107"/>
      <c r="G17" s="107"/>
      <c r="H17" s="107"/>
      <c r="I17" s="107"/>
      <c r="J17" s="107"/>
      <c r="K17" s="107"/>
      <c r="L17" s="107"/>
      <c r="M17" s="107"/>
      <c r="N17" s="107"/>
      <c r="O17" s="107"/>
      <c r="P17" s="107"/>
      <c r="Q17" s="107"/>
    </row>
    <row r="18" spans="1:17" ht="18.75" hidden="1">
      <c r="A18" s="884">
        <v>40330</v>
      </c>
      <c r="B18" s="1479">
        <v>0.11609999999999999</v>
      </c>
      <c r="C18" s="1480">
        <v>0.1183</v>
      </c>
      <c r="D18" s="107"/>
      <c r="E18" s="107"/>
      <c r="F18" s="107"/>
      <c r="G18" s="107"/>
      <c r="H18" s="107"/>
      <c r="I18" s="107"/>
      <c r="J18" s="107"/>
      <c r="K18" s="107"/>
      <c r="L18" s="107"/>
      <c r="M18" s="107"/>
      <c r="N18" s="107"/>
      <c r="O18" s="107"/>
      <c r="P18" s="107"/>
      <c r="Q18" s="107"/>
    </row>
    <row r="19" spans="1:17" s="77" customFormat="1" ht="18.75">
      <c r="A19" s="884">
        <v>40513</v>
      </c>
      <c r="B19" s="1479">
        <v>0.108409960162953</v>
      </c>
      <c r="C19" s="1480">
        <v>0.11057333531076501</v>
      </c>
      <c r="D19" s="94"/>
      <c r="E19" s="94"/>
      <c r="F19" s="94"/>
      <c r="G19" s="94"/>
      <c r="H19" s="94"/>
      <c r="I19" s="94"/>
      <c r="J19" s="94"/>
      <c r="K19" s="94"/>
      <c r="L19" s="94"/>
      <c r="M19" s="94"/>
      <c r="N19" s="94"/>
      <c r="O19" s="108"/>
      <c r="P19" s="94"/>
      <c r="Q19" s="94"/>
    </row>
    <row r="20" spans="1:17" ht="18.75">
      <c r="A20" s="884">
        <v>40695</v>
      </c>
      <c r="B20" s="1479">
        <v>0.113957126516463</v>
      </c>
      <c r="C20" s="1480">
        <v>0.115288967128472</v>
      </c>
      <c r="D20" s="107"/>
      <c r="E20" s="108"/>
      <c r="F20" s="108"/>
      <c r="G20" s="108"/>
      <c r="H20" s="108"/>
      <c r="I20" s="108"/>
      <c r="J20" s="108"/>
      <c r="K20" s="108"/>
      <c r="L20" s="108"/>
      <c r="M20" s="108"/>
      <c r="N20" s="108"/>
      <c r="O20" s="107"/>
      <c r="P20" s="107"/>
      <c r="Q20" s="107"/>
    </row>
    <row r="21" spans="1:17" ht="18.75">
      <c r="A21" s="884">
        <v>40878</v>
      </c>
      <c r="B21" s="1479">
        <v>0.12479999999999999</v>
      </c>
      <c r="C21" s="1480">
        <v>0.12659999999999999</v>
      </c>
      <c r="D21" s="94"/>
      <c r="E21" s="94"/>
      <c r="F21" s="94"/>
      <c r="G21" s="94"/>
      <c r="H21" s="94"/>
      <c r="I21" s="94"/>
      <c r="J21" s="94"/>
      <c r="K21" s="94"/>
      <c r="L21" s="94"/>
      <c r="M21" s="94"/>
      <c r="N21" s="94"/>
      <c r="O21" s="94"/>
      <c r="P21" s="107"/>
      <c r="Q21" s="107"/>
    </row>
    <row r="22" spans="1:17" ht="18.75" hidden="1">
      <c r="A22" s="884">
        <v>40909</v>
      </c>
      <c r="B22" s="1479">
        <v>0.1268</v>
      </c>
      <c r="C22" s="1480">
        <v>0.12740000000000001</v>
      </c>
      <c r="D22" s="107"/>
      <c r="E22" s="107"/>
      <c r="F22" s="107"/>
      <c r="G22" s="107"/>
      <c r="H22" s="107"/>
      <c r="I22" s="107"/>
      <c r="J22" s="107"/>
      <c r="K22" s="107"/>
      <c r="L22" s="107"/>
      <c r="M22" s="107"/>
      <c r="N22" s="107"/>
      <c r="O22" s="107"/>
      <c r="P22" s="107"/>
      <c r="Q22" s="107"/>
    </row>
    <row r="23" spans="1:17" ht="18.75" hidden="1">
      <c r="A23" s="884">
        <v>40940</v>
      </c>
      <c r="B23" s="1479">
        <v>0.12870000000000001</v>
      </c>
      <c r="C23" s="1480">
        <v>0.13070000000000001</v>
      </c>
      <c r="D23" s="107"/>
      <c r="E23" s="107"/>
      <c r="F23" s="107"/>
      <c r="G23" s="107"/>
      <c r="H23" s="107"/>
      <c r="I23" s="107"/>
      <c r="J23" s="107"/>
      <c r="K23" s="107"/>
      <c r="L23" s="107"/>
      <c r="M23" s="107"/>
      <c r="N23" s="107"/>
      <c r="O23" s="107"/>
      <c r="P23" s="107"/>
      <c r="Q23" s="107"/>
    </row>
    <row r="24" spans="1:17" ht="18.75" hidden="1">
      <c r="A24" s="884">
        <v>40969</v>
      </c>
      <c r="B24" s="1479">
        <v>0.13020000000000001</v>
      </c>
      <c r="C24" s="1480">
        <v>0.13250000000000001</v>
      </c>
      <c r="D24" s="107"/>
      <c r="E24" s="107"/>
      <c r="F24" s="107"/>
      <c r="G24" s="107"/>
      <c r="H24" s="107"/>
      <c r="I24" s="107"/>
      <c r="J24" s="107"/>
      <c r="K24" s="107"/>
      <c r="L24" s="107"/>
      <c r="M24" s="107"/>
      <c r="N24" s="107"/>
      <c r="O24" s="107"/>
      <c r="P24" s="107"/>
      <c r="Q24" s="107"/>
    </row>
    <row r="25" spans="1:17" ht="18.75" hidden="1">
      <c r="A25" s="884">
        <v>41000</v>
      </c>
      <c r="B25" s="1479">
        <v>0.12909999999999999</v>
      </c>
      <c r="C25" s="1480">
        <v>0.13170000000000001</v>
      </c>
      <c r="D25" s="107"/>
      <c r="E25" s="107"/>
      <c r="F25" s="107"/>
      <c r="G25" s="107"/>
      <c r="H25" s="107"/>
      <c r="I25" s="107"/>
      <c r="J25" s="107"/>
      <c r="K25" s="107"/>
      <c r="L25" s="107"/>
      <c r="M25" s="107"/>
      <c r="N25" s="107"/>
      <c r="O25" s="107"/>
      <c r="P25" s="107"/>
      <c r="Q25" s="107"/>
    </row>
    <row r="26" spans="1:17" ht="18.75" hidden="1">
      <c r="A26" s="884">
        <v>41030</v>
      </c>
      <c r="B26" s="1479">
        <v>0.13</v>
      </c>
      <c r="C26" s="1480">
        <v>0.13289999999999999</v>
      </c>
      <c r="D26" s="107"/>
      <c r="E26" s="107"/>
      <c r="F26" s="107"/>
      <c r="G26" s="107"/>
      <c r="H26" s="107"/>
      <c r="I26" s="107"/>
      <c r="J26" s="107"/>
      <c r="K26" s="107"/>
      <c r="L26" s="107"/>
      <c r="M26" s="107"/>
      <c r="N26" s="107"/>
      <c r="O26" s="107"/>
      <c r="P26" s="107"/>
      <c r="Q26" s="107"/>
    </row>
    <row r="27" spans="1:17" ht="18.75">
      <c r="A27" s="884">
        <v>41061</v>
      </c>
      <c r="B27" s="1479">
        <v>0.13100000000000001</v>
      </c>
      <c r="C27" s="1480">
        <v>0.1343</v>
      </c>
      <c r="D27" s="107"/>
      <c r="E27" s="107"/>
      <c r="F27" s="107"/>
      <c r="G27" s="107"/>
      <c r="H27" s="107"/>
      <c r="I27" s="107"/>
      <c r="J27" s="107"/>
      <c r="K27" s="107"/>
      <c r="L27" s="107"/>
      <c r="M27" s="107"/>
      <c r="N27" s="107"/>
      <c r="O27" s="107"/>
      <c r="P27" s="107"/>
      <c r="Q27" s="107"/>
    </row>
    <row r="28" spans="1:17" ht="18.75" hidden="1">
      <c r="A28" s="884">
        <v>41091</v>
      </c>
      <c r="B28" s="1479">
        <v>0.13519999999999999</v>
      </c>
      <c r="C28" s="1480">
        <v>0.13800000000000001</v>
      </c>
      <c r="D28" s="107"/>
      <c r="E28" s="107"/>
      <c r="F28" s="107"/>
      <c r="G28" s="107"/>
      <c r="H28" s="107"/>
      <c r="I28" s="107"/>
      <c r="J28" s="107"/>
      <c r="K28" s="107"/>
      <c r="L28" s="107"/>
      <c r="M28" s="107"/>
      <c r="N28" s="107"/>
      <c r="O28" s="107"/>
      <c r="P28" s="107"/>
      <c r="Q28" s="107"/>
    </row>
    <row r="29" spans="1:17" ht="18.75" hidden="1">
      <c r="A29" s="884">
        <v>41122</v>
      </c>
      <c r="B29" s="1479">
        <v>0.1346</v>
      </c>
      <c r="C29" s="1480">
        <v>0.13800000000000001</v>
      </c>
      <c r="D29" s="107"/>
      <c r="E29" s="107"/>
      <c r="F29" s="107"/>
      <c r="G29" s="107"/>
      <c r="H29" s="107"/>
      <c r="I29" s="107"/>
      <c r="J29" s="107"/>
      <c r="K29" s="107"/>
      <c r="L29" s="107"/>
      <c r="M29" s="107"/>
      <c r="N29" s="107"/>
      <c r="O29" s="107"/>
      <c r="P29" s="107"/>
      <c r="Q29" s="107"/>
    </row>
    <row r="30" spans="1:17" ht="18.75" hidden="1">
      <c r="A30" s="884">
        <v>41153</v>
      </c>
      <c r="B30" s="1479">
        <v>0.1351</v>
      </c>
      <c r="C30" s="1480">
        <v>0.1386</v>
      </c>
      <c r="D30" s="107"/>
      <c r="E30" s="107"/>
      <c r="F30" s="107"/>
      <c r="G30" s="107"/>
      <c r="H30" s="107"/>
      <c r="I30" s="107"/>
      <c r="J30" s="107"/>
      <c r="K30" s="107"/>
      <c r="L30" s="107"/>
      <c r="M30" s="107"/>
      <c r="N30" s="107"/>
      <c r="O30" s="107"/>
      <c r="P30" s="107"/>
      <c r="Q30" s="107"/>
    </row>
    <row r="31" spans="1:17" ht="18.75" hidden="1">
      <c r="A31" s="884">
        <v>41183</v>
      </c>
      <c r="B31" s="1479">
        <v>0.13669999999999999</v>
      </c>
      <c r="C31" s="1480">
        <v>0.14080000000000001</v>
      </c>
      <c r="D31" s="107"/>
      <c r="E31" s="107"/>
      <c r="F31" s="107"/>
      <c r="G31" s="107"/>
      <c r="H31" s="107"/>
      <c r="I31" s="107"/>
      <c r="J31" s="107"/>
      <c r="K31" s="107"/>
      <c r="L31" s="107"/>
      <c r="M31" s="107"/>
      <c r="N31" s="107"/>
      <c r="O31" s="107"/>
      <c r="P31" s="107"/>
      <c r="Q31" s="107"/>
    </row>
    <row r="32" spans="1:17" ht="18.75" hidden="1">
      <c r="A32" s="884">
        <v>41214</v>
      </c>
      <c r="B32" s="1479">
        <v>0.1447</v>
      </c>
      <c r="C32" s="1480">
        <v>0.1472</v>
      </c>
      <c r="D32" s="107"/>
      <c r="E32" s="107"/>
      <c r="F32" s="107"/>
      <c r="G32" s="107"/>
      <c r="H32" s="107"/>
      <c r="I32" s="107"/>
      <c r="J32" s="107"/>
      <c r="K32" s="107"/>
      <c r="L32" s="107"/>
      <c r="M32" s="107"/>
      <c r="N32" s="107"/>
      <c r="O32" s="107"/>
      <c r="P32" s="107"/>
      <c r="Q32" s="107"/>
    </row>
    <row r="33" spans="1:17" ht="18.75">
      <c r="A33" s="884">
        <v>41244</v>
      </c>
      <c r="B33" s="1479">
        <v>0.14269999999999999</v>
      </c>
      <c r="C33" s="1480">
        <v>0.1454</v>
      </c>
      <c r="D33" s="107"/>
      <c r="E33" s="107"/>
      <c r="F33" s="107"/>
      <c r="G33" s="107"/>
      <c r="H33" s="107"/>
      <c r="I33" s="107"/>
      <c r="J33" s="107"/>
      <c r="K33" s="107"/>
      <c r="L33" s="107"/>
      <c r="M33" s="107"/>
      <c r="N33" s="107"/>
      <c r="O33" s="107"/>
      <c r="P33" s="107"/>
      <c r="Q33" s="107"/>
    </row>
    <row r="34" spans="1:17" ht="18.75" hidden="1">
      <c r="A34" s="884">
        <v>41275</v>
      </c>
      <c r="B34" s="1479">
        <v>0.1409</v>
      </c>
      <c r="C34" s="1480">
        <v>0.14360000000000001</v>
      </c>
      <c r="D34" s="107"/>
      <c r="E34" s="107"/>
      <c r="F34" s="107"/>
      <c r="G34" s="107"/>
      <c r="H34" s="107"/>
      <c r="I34" s="107"/>
      <c r="J34" s="107"/>
      <c r="K34" s="107"/>
      <c r="L34" s="107"/>
      <c r="M34" s="107"/>
      <c r="N34" s="107"/>
      <c r="O34" s="107"/>
      <c r="P34" s="107"/>
      <c r="Q34" s="107"/>
    </row>
    <row r="35" spans="1:17" ht="18.75" hidden="1">
      <c r="A35" s="884">
        <v>41306</v>
      </c>
      <c r="B35" s="1479">
        <v>0.14199999999999999</v>
      </c>
      <c r="C35" s="1480">
        <v>0.14580000000000001</v>
      </c>
      <c r="D35" s="107"/>
      <c r="E35" s="107"/>
      <c r="F35" s="107"/>
      <c r="G35" s="107"/>
      <c r="H35" s="107"/>
      <c r="I35" s="107"/>
      <c r="J35" s="107"/>
      <c r="K35" s="107"/>
      <c r="L35" s="107"/>
      <c r="M35" s="107"/>
      <c r="N35" s="107"/>
      <c r="O35" s="107"/>
      <c r="P35" s="107"/>
      <c r="Q35" s="107"/>
    </row>
    <row r="36" spans="1:17" ht="18.75" hidden="1">
      <c r="A36" s="884">
        <v>41334</v>
      </c>
      <c r="B36" s="1479">
        <v>0.14480000000000001</v>
      </c>
      <c r="C36" s="1480">
        <v>0.1479</v>
      </c>
    </row>
    <row r="37" spans="1:17" ht="18.75" hidden="1">
      <c r="A37" s="884">
        <v>41365</v>
      </c>
      <c r="B37" s="1479">
        <v>0.1477</v>
      </c>
      <c r="C37" s="1480">
        <v>0.15110000000000001</v>
      </c>
    </row>
    <row r="38" spans="1:17" ht="18.75" hidden="1">
      <c r="A38" s="884">
        <v>41395</v>
      </c>
      <c r="B38" s="1479">
        <v>0.14810000000000001</v>
      </c>
      <c r="C38" s="1480">
        <v>0.15129999999999999</v>
      </c>
    </row>
    <row r="39" spans="1:17" ht="18.75">
      <c r="A39" s="884">
        <v>41426</v>
      </c>
      <c r="B39" s="1479">
        <v>0.15329999999999999</v>
      </c>
      <c r="C39" s="1480">
        <v>0.15759999999999999</v>
      </c>
    </row>
    <row r="40" spans="1:17" ht="18.75" hidden="1">
      <c r="A40" s="884">
        <v>41456</v>
      </c>
      <c r="B40" s="1479">
        <v>0.15479999999999999</v>
      </c>
      <c r="C40" s="1480">
        <v>0.15840000000000001</v>
      </c>
    </row>
    <row r="41" spans="1:17" ht="18.75" hidden="1">
      <c r="A41" s="884">
        <v>41487</v>
      </c>
      <c r="B41" s="1479">
        <v>0.1517</v>
      </c>
      <c r="C41" s="1480">
        <v>0.1545</v>
      </c>
    </row>
    <row r="42" spans="1:17" ht="18.75" hidden="1">
      <c r="A42" s="884">
        <v>41518</v>
      </c>
      <c r="B42" s="1479">
        <v>0.14349999999999999</v>
      </c>
      <c r="C42" s="1480">
        <v>0.14680000000000001</v>
      </c>
    </row>
    <row r="43" spans="1:17" ht="18.75" hidden="1">
      <c r="A43" s="884">
        <v>41548</v>
      </c>
      <c r="B43" s="1479">
        <v>0.13850000000000001</v>
      </c>
      <c r="C43" s="1480">
        <v>0.1411</v>
      </c>
    </row>
    <row r="44" spans="1:17" ht="18.75" hidden="1">
      <c r="A44" s="884">
        <v>41579</v>
      </c>
      <c r="B44" s="1479">
        <v>0.13170000000000001</v>
      </c>
      <c r="C44" s="1480">
        <v>0.13519999999999999</v>
      </c>
    </row>
    <row r="45" spans="1:17" ht="18.75">
      <c r="A45" s="884">
        <v>41609</v>
      </c>
      <c r="B45" s="1479">
        <v>0.132289709655253</v>
      </c>
      <c r="C45" s="1480">
        <v>0.133732017269869</v>
      </c>
    </row>
    <row r="46" spans="1:17" ht="18.75" hidden="1">
      <c r="A46" s="884">
        <v>41640</v>
      </c>
      <c r="B46" s="1479">
        <v>0.13262888735529499</v>
      </c>
      <c r="C46" s="1480">
        <v>0.13435685682335999</v>
      </c>
    </row>
    <row r="47" spans="1:17" ht="18.75" hidden="1">
      <c r="A47" s="884">
        <v>41671</v>
      </c>
      <c r="B47" s="1479">
        <v>0.13070000000000001</v>
      </c>
      <c r="C47" s="1480">
        <v>0.13150000000000001</v>
      </c>
    </row>
    <row r="48" spans="1:17" ht="18.75" hidden="1">
      <c r="A48" s="884">
        <v>41699</v>
      </c>
      <c r="B48" s="1479">
        <v>0.12620000000000001</v>
      </c>
      <c r="C48" s="1480">
        <v>0.12820000000000001</v>
      </c>
      <c r="I48" s="204"/>
    </row>
    <row r="49" spans="1:3" ht="18.75" hidden="1">
      <c r="A49" s="884">
        <v>41760</v>
      </c>
      <c r="B49" s="1479">
        <v>0.1179</v>
      </c>
      <c r="C49" s="1480">
        <v>0.1203</v>
      </c>
    </row>
    <row r="50" spans="1:3" ht="18.75">
      <c r="A50" s="884">
        <v>41791</v>
      </c>
      <c r="B50" s="1479">
        <v>0.116663916655663</v>
      </c>
      <c r="C50" s="1480">
        <v>0.117645839774349</v>
      </c>
    </row>
    <row r="51" spans="1:3" ht="18.75">
      <c r="A51" s="884">
        <v>41821</v>
      </c>
      <c r="B51" s="1479">
        <v>0.116796791263615</v>
      </c>
      <c r="C51" s="1480">
        <v>0.118568283938031</v>
      </c>
    </row>
    <row r="52" spans="1:3" ht="18.75">
      <c r="A52" s="884">
        <v>41852</v>
      </c>
      <c r="B52" s="1479">
        <v>0.1173</v>
      </c>
      <c r="C52" s="1480">
        <v>0.1198</v>
      </c>
    </row>
    <row r="53" spans="1:3" ht="18.75" hidden="1">
      <c r="A53" s="884">
        <v>41883</v>
      </c>
      <c r="B53" s="1479">
        <v>0.122677017308136</v>
      </c>
      <c r="C53" s="1480">
        <v>0.124578929225971</v>
      </c>
    </row>
    <row r="54" spans="1:3" ht="18.75" hidden="1">
      <c r="A54" s="884">
        <v>41913</v>
      </c>
      <c r="B54" s="1479">
        <v>0.123037759368956</v>
      </c>
      <c r="C54" s="1480">
        <v>0.125103490001607</v>
      </c>
    </row>
    <row r="55" spans="1:3" ht="18.75">
      <c r="A55" s="884">
        <v>41944</v>
      </c>
      <c r="B55" s="1479">
        <v>0.1196</v>
      </c>
      <c r="C55" s="1480">
        <v>0.12239999999999999</v>
      </c>
    </row>
    <row r="56" spans="1:3" ht="18.75">
      <c r="A56" s="884">
        <v>41974</v>
      </c>
      <c r="B56" s="1479">
        <v>0.1202</v>
      </c>
      <c r="C56" s="1480">
        <v>0.12479999999999999</v>
      </c>
    </row>
    <row r="57" spans="1:3" ht="18.75">
      <c r="A57" s="884">
        <v>42005</v>
      </c>
      <c r="B57" s="1479">
        <v>0.12089999999999999</v>
      </c>
      <c r="C57" s="1480">
        <v>0.125</v>
      </c>
    </row>
    <row r="58" spans="1:3" ht="18.75">
      <c r="A58" s="884">
        <v>42050</v>
      </c>
      <c r="B58" s="1479">
        <v>0.1201</v>
      </c>
      <c r="C58" s="1480">
        <v>0.1242</v>
      </c>
    </row>
    <row r="59" spans="1:3" ht="18.75">
      <c r="A59" s="884">
        <v>42078</v>
      </c>
      <c r="B59" s="1479">
        <v>0.1229</v>
      </c>
      <c r="C59" s="1480">
        <v>0.12720000000000001</v>
      </c>
    </row>
    <row r="60" spans="1:3" ht="18.75">
      <c r="A60" s="884" t="s">
        <v>920</v>
      </c>
      <c r="B60" s="1479">
        <v>0.123365719687781</v>
      </c>
      <c r="C60" s="1480">
        <v>0.12739122285896601</v>
      </c>
    </row>
    <row r="61" spans="1:3" ht="18.75">
      <c r="A61" s="884">
        <v>42139</v>
      </c>
      <c r="B61" s="1479">
        <v>0.12576975775993299</v>
      </c>
      <c r="C61" s="1480">
        <v>0.129579088814962</v>
      </c>
    </row>
    <row r="62" spans="1:3" ht="18.75">
      <c r="A62" s="885">
        <v>42171</v>
      </c>
      <c r="B62" s="1481">
        <v>0.11990000000000001</v>
      </c>
      <c r="C62" s="1482">
        <v>0.12379999999999999</v>
      </c>
    </row>
  </sheetData>
  <mergeCells count="3">
    <mergeCell ref="A1:S1"/>
    <mergeCell ref="A3:C3"/>
    <mergeCell ref="A2:S2"/>
  </mergeCells>
  <printOptions horizontalCentered="1" verticalCentered="1"/>
  <pageMargins left="0.4" right="0.4" top="0.25" bottom="0.25" header="0.3" footer="0.3"/>
  <pageSetup scale="46"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T38"/>
  <sheetViews>
    <sheetView showGridLines="0" view="pageBreakPreview" zoomScale="70" zoomScaleNormal="100" zoomScaleSheetLayoutView="70" workbookViewId="0">
      <selection activeCell="H7" sqref="H7"/>
    </sheetView>
  </sheetViews>
  <sheetFormatPr baseColWidth="10" defaultColWidth="11.42578125" defaultRowHeight="15"/>
  <cols>
    <col min="1" max="1" width="16.85546875" style="289" customWidth="1"/>
    <col min="2" max="2" width="22.28515625" style="289" customWidth="1"/>
    <col min="3" max="3" width="20.28515625" style="289" customWidth="1"/>
    <col min="4" max="4" width="21.85546875" style="289" customWidth="1"/>
    <col min="5" max="5" width="14.28515625" style="289" customWidth="1"/>
    <col min="6" max="15" width="13.5703125" style="289" customWidth="1"/>
    <col min="16" max="16" width="11.42578125" style="289" hidden="1" customWidth="1"/>
    <col min="17" max="17" width="0.28515625" style="289" customWidth="1"/>
    <col min="18" max="18" width="11.42578125" style="289"/>
    <col min="19" max="19" width="12.7109375" style="289" customWidth="1"/>
    <col min="20" max="21" width="15.28515625" style="289" customWidth="1"/>
    <col min="22" max="22" width="15.85546875" style="289" customWidth="1"/>
    <col min="23" max="16384" width="11.42578125" style="289"/>
  </cols>
  <sheetData>
    <row r="1" spans="1:17" ht="86.25" customHeight="1">
      <c r="A1" s="1958"/>
      <c r="B1" s="1958"/>
      <c r="C1" s="1958"/>
      <c r="D1" s="1958"/>
      <c r="E1" s="1958"/>
      <c r="F1" s="1958"/>
      <c r="G1" s="1958"/>
      <c r="H1" s="1958"/>
      <c r="I1" s="1958"/>
      <c r="J1" s="1958"/>
      <c r="K1" s="1958"/>
      <c r="L1" s="1958"/>
      <c r="M1" s="1958"/>
      <c r="N1" s="1958"/>
      <c r="O1" s="1958"/>
      <c r="P1" s="1958"/>
      <c r="Q1" s="1958"/>
    </row>
    <row r="2" spans="1:17" ht="3.75" customHeight="1">
      <c r="A2" s="1959"/>
      <c r="B2" s="1959"/>
      <c r="C2" s="1959"/>
      <c r="D2" s="1959"/>
      <c r="E2" s="1959"/>
      <c r="F2" s="1959"/>
      <c r="G2" s="1959"/>
      <c r="H2" s="1959"/>
      <c r="I2" s="1959"/>
      <c r="J2" s="1959"/>
      <c r="K2" s="1959"/>
      <c r="L2" s="1959"/>
      <c r="M2" s="1959"/>
      <c r="N2" s="1959"/>
      <c r="O2" s="1959"/>
      <c r="P2" s="290"/>
      <c r="Q2" s="290"/>
    </row>
    <row r="3" spans="1:17" ht="39" customHeight="1">
      <c r="A3" s="1960" t="s">
        <v>575</v>
      </c>
      <c r="B3" s="1961"/>
      <c r="C3" s="1961"/>
      <c r="D3" s="1962"/>
      <c r="E3" s="290"/>
      <c r="F3" s="290"/>
      <c r="G3" s="290"/>
      <c r="H3" s="290"/>
      <c r="I3" s="290"/>
      <c r="J3" s="290"/>
      <c r="K3" s="290"/>
      <c r="L3" s="290"/>
      <c r="M3" s="290"/>
      <c r="N3" s="290"/>
      <c r="O3" s="290"/>
      <c r="P3" s="290"/>
      <c r="Q3" s="290"/>
    </row>
    <row r="4" spans="1:17" ht="45.75" customHeight="1">
      <c r="A4" s="619" t="s">
        <v>47</v>
      </c>
      <c r="B4" s="617" t="s">
        <v>576</v>
      </c>
      <c r="C4" s="617" t="s">
        <v>577</v>
      </c>
      <c r="D4" s="618" t="s">
        <v>578</v>
      </c>
      <c r="E4" s="290"/>
      <c r="F4" s="290"/>
      <c r="G4" s="290"/>
      <c r="H4" s="290"/>
      <c r="I4" s="290"/>
      <c r="J4" s="290"/>
      <c r="K4" s="290"/>
      <c r="L4" s="290"/>
      <c r="M4" s="290"/>
      <c r="N4" s="290"/>
      <c r="O4" s="290"/>
      <c r="P4" s="290"/>
      <c r="Q4" s="290"/>
    </row>
    <row r="5" spans="1:17" ht="18.75">
      <c r="A5" s="620">
        <v>37956</v>
      </c>
      <c r="B5" s="1776">
        <v>0.23569999999999999</v>
      </c>
      <c r="C5" s="1776">
        <v>0.42655027092113201</v>
      </c>
      <c r="D5" s="1777">
        <f>B5-C5</f>
        <v>-0.19085027092113202</v>
      </c>
      <c r="E5" s="290"/>
      <c r="F5" s="290"/>
      <c r="G5" s="290"/>
      <c r="H5" s="290"/>
      <c r="I5" s="290"/>
      <c r="J5" s="290"/>
      <c r="K5" s="290"/>
      <c r="L5" s="290"/>
      <c r="M5" s="290"/>
      <c r="N5" s="290"/>
      <c r="O5" s="290"/>
      <c r="P5" s="290"/>
      <c r="Q5" s="290"/>
    </row>
    <row r="6" spans="1:17" ht="18.75">
      <c r="A6" s="620">
        <v>38322</v>
      </c>
      <c r="B6" s="1776">
        <v>0.2384</v>
      </c>
      <c r="C6" s="1776">
        <v>0.28740240557079555</v>
      </c>
      <c r="D6" s="1777">
        <f t="shared" ref="D6:D16" si="0">B6-C6</f>
        <v>-4.9002405570795549E-2</v>
      </c>
      <c r="E6" s="290"/>
      <c r="F6" s="290"/>
      <c r="G6" s="290"/>
      <c r="H6" s="290"/>
      <c r="I6" s="290"/>
      <c r="J6" s="290"/>
      <c r="K6" s="290"/>
      <c r="L6" s="290"/>
      <c r="M6" s="290"/>
      <c r="N6" s="290"/>
      <c r="O6" s="290"/>
      <c r="P6" s="290"/>
      <c r="Q6" s="290"/>
    </row>
    <row r="7" spans="1:17" ht="18.75">
      <c r="A7" s="620">
        <v>38687</v>
      </c>
      <c r="B7" s="1776">
        <v>0.1696</v>
      </c>
      <c r="C7" s="1776">
        <v>7.4373053597770911E-2</v>
      </c>
      <c r="D7" s="1777">
        <f t="shared" si="0"/>
        <v>9.522694640222909E-2</v>
      </c>
      <c r="E7" s="290"/>
      <c r="F7" s="290"/>
      <c r="G7" s="290"/>
      <c r="H7" s="290"/>
      <c r="I7" s="290"/>
      <c r="J7" s="290"/>
      <c r="K7" s="290"/>
      <c r="L7" s="290"/>
      <c r="M7" s="290"/>
      <c r="N7" s="290"/>
      <c r="O7" s="290"/>
      <c r="P7" s="290"/>
      <c r="Q7" s="290"/>
    </row>
    <row r="8" spans="1:17" ht="18.75">
      <c r="A8" s="620">
        <v>39052</v>
      </c>
      <c r="B8" s="1776">
        <v>0.1148</v>
      </c>
      <c r="C8" s="1776">
        <v>5.0001907013997426E-2</v>
      </c>
      <c r="D8" s="1777">
        <f t="shared" si="0"/>
        <v>6.4798092986002573E-2</v>
      </c>
      <c r="E8" s="290"/>
      <c r="F8" s="290"/>
      <c r="G8" s="290"/>
      <c r="H8" s="291"/>
      <c r="I8" s="290"/>
      <c r="J8" s="290"/>
      <c r="K8" s="290"/>
      <c r="L8" s="290"/>
      <c r="M8" s="290"/>
      <c r="N8" s="290"/>
      <c r="O8" s="290"/>
      <c r="P8" s="290"/>
      <c r="Q8" s="290"/>
    </row>
    <row r="9" spans="1:17" ht="18.75">
      <c r="A9" s="620">
        <v>39417</v>
      </c>
      <c r="B9" s="1776">
        <v>8.4400000000000003E-2</v>
      </c>
      <c r="C9" s="1776">
        <v>8.8775880857246747E-2</v>
      </c>
      <c r="D9" s="1777">
        <f t="shared" si="0"/>
        <v>-4.3758808572467445E-3</v>
      </c>
      <c r="E9" s="290"/>
      <c r="F9" s="290"/>
      <c r="G9" s="290"/>
      <c r="H9" s="290"/>
      <c r="I9" s="290"/>
      <c r="J9" s="290"/>
      <c r="K9" s="290"/>
      <c r="L9" s="290"/>
      <c r="M9" s="290"/>
      <c r="N9" s="290"/>
      <c r="O9" s="290"/>
      <c r="P9" s="290"/>
      <c r="Q9" s="290"/>
    </row>
    <row r="10" spans="1:17" ht="18.75">
      <c r="A10" s="620">
        <v>39783</v>
      </c>
      <c r="B10" s="1776">
        <v>0.13009999999999999</v>
      </c>
      <c r="C10" s="1776">
        <v>4.517248281844255E-2</v>
      </c>
      <c r="D10" s="1777">
        <f t="shared" si="0"/>
        <v>8.4927517181557444E-2</v>
      </c>
      <c r="E10" s="290"/>
      <c r="F10" s="290"/>
      <c r="G10" s="290"/>
      <c r="H10" s="290"/>
      <c r="I10" s="290"/>
      <c r="J10" s="290"/>
      <c r="K10" s="290"/>
      <c r="L10" s="290"/>
      <c r="M10" s="290"/>
      <c r="N10" s="290"/>
      <c r="O10" s="290"/>
      <c r="P10" s="290"/>
      <c r="Q10" s="290"/>
    </row>
    <row r="11" spans="1:17" ht="18.75">
      <c r="A11" s="620">
        <v>40148</v>
      </c>
      <c r="B11" s="1776">
        <v>0.14330000000000001</v>
      </c>
      <c r="C11" s="1776">
        <v>5.7648110316649515E-2</v>
      </c>
      <c r="D11" s="1777">
        <f t="shared" si="0"/>
        <v>8.5651889683350496E-2</v>
      </c>
      <c r="E11" s="290"/>
      <c r="F11" s="290"/>
      <c r="G11" s="290"/>
      <c r="H11" s="290"/>
      <c r="I11" s="290"/>
      <c r="J11" s="290"/>
      <c r="K11" s="290"/>
      <c r="L11" s="290"/>
      <c r="M11" s="290"/>
      <c r="N11" s="290"/>
      <c r="O11" s="290"/>
      <c r="P11" s="290"/>
      <c r="Q11" s="290"/>
    </row>
    <row r="12" spans="1:17" s="294" customFormat="1" ht="18.75">
      <c r="A12" s="620">
        <v>40513</v>
      </c>
      <c r="B12" s="1776">
        <v>0.11057333531076501</v>
      </c>
      <c r="C12" s="1776">
        <v>6.2383050642844218E-2</v>
      </c>
      <c r="D12" s="1777">
        <f t="shared" si="0"/>
        <v>4.8190284667920788E-2</v>
      </c>
      <c r="E12" s="292"/>
      <c r="F12" s="292"/>
      <c r="G12" s="292"/>
      <c r="H12" s="292"/>
      <c r="I12" s="292"/>
      <c r="J12" s="292"/>
      <c r="K12" s="292"/>
      <c r="L12" s="292"/>
      <c r="M12" s="292"/>
      <c r="N12" s="292"/>
      <c r="O12" s="293"/>
      <c r="P12" s="292"/>
      <c r="Q12" s="292"/>
    </row>
    <row r="13" spans="1:17" ht="18.75">
      <c r="A13" s="620">
        <v>40878</v>
      </c>
      <c r="B13" s="1776">
        <v>0.12659999999999999</v>
      </c>
      <c r="C13" s="1776">
        <v>7.7600000000000002E-2</v>
      </c>
      <c r="D13" s="1777">
        <f t="shared" si="0"/>
        <v>4.8999999999999988E-2</v>
      </c>
      <c r="E13" s="292"/>
      <c r="F13" s="292"/>
      <c r="G13" s="292"/>
      <c r="H13" s="292"/>
      <c r="I13" s="292"/>
      <c r="J13" s="292"/>
      <c r="K13" s="292"/>
      <c r="L13" s="292"/>
      <c r="M13" s="292"/>
      <c r="N13" s="292"/>
      <c r="O13" s="292"/>
      <c r="P13" s="290"/>
      <c r="Q13" s="290"/>
    </row>
    <row r="14" spans="1:17" ht="18.75">
      <c r="A14" s="620">
        <v>41244</v>
      </c>
      <c r="B14" s="1776">
        <v>0.14269999999999999</v>
      </c>
      <c r="C14" s="1776">
        <v>3.9100000000000003E-2</v>
      </c>
      <c r="D14" s="1777">
        <f t="shared" si="0"/>
        <v>0.1036</v>
      </c>
      <c r="E14" s="290"/>
      <c r="F14" s="290"/>
      <c r="G14" s="290"/>
      <c r="H14" s="290"/>
      <c r="I14" s="290"/>
      <c r="J14" s="290"/>
      <c r="K14" s="290"/>
      <c r="L14" s="290"/>
      <c r="M14" s="290"/>
      <c r="N14" s="290"/>
      <c r="O14" s="290"/>
      <c r="P14" s="290"/>
      <c r="Q14" s="290"/>
    </row>
    <row r="15" spans="1:17" ht="18.75">
      <c r="A15" s="620">
        <v>41609</v>
      </c>
      <c r="B15" s="1776">
        <f>+'[3]V.5.3 Rent. nom. de los FP'!B45</f>
        <v>0.132289709655253</v>
      </c>
      <c r="C15" s="1776">
        <v>3.8800000000000001E-2</v>
      </c>
      <c r="D15" s="1777">
        <f t="shared" si="0"/>
        <v>9.3489709655252995E-2</v>
      </c>
      <c r="E15" s="290"/>
      <c r="F15" s="290"/>
      <c r="G15" s="290"/>
      <c r="H15" s="290"/>
      <c r="I15" s="290"/>
      <c r="J15" s="290"/>
      <c r="K15" s="290"/>
      <c r="L15" s="290"/>
      <c r="M15" s="290"/>
      <c r="N15" s="290"/>
      <c r="O15" s="290"/>
      <c r="P15" s="290"/>
      <c r="Q15" s="290"/>
    </row>
    <row r="16" spans="1:17" ht="18.75">
      <c r="A16" s="620">
        <v>41974</v>
      </c>
      <c r="B16" s="1776">
        <v>0.1202</v>
      </c>
      <c r="C16" s="1776">
        <v>1.5800000000000002E-2</v>
      </c>
      <c r="D16" s="1777">
        <f t="shared" si="0"/>
        <v>0.10439999999999999</v>
      </c>
      <c r="E16" s="290"/>
      <c r="F16" s="290"/>
      <c r="G16" s="290"/>
      <c r="H16" s="290"/>
      <c r="I16" s="290"/>
      <c r="J16" s="290"/>
      <c r="K16" s="290"/>
      <c r="L16" s="290"/>
      <c r="M16" s="290"/>
      <c r="N16" s="290"/>
      <c r="O16" s="290"/>
      <c r="P16" s="290"/>
      <c r="Q16" s="290"/>
    </row>
    <row r="17" spans="1:20" ht="18.75">
      <c r="A17" s="621">
        <v>42170</v>
      </c>
      <c r="B17" s="1778">
        <v>0.11990000000000001</v>
      </c>
      <c r="C17" s="1778">
        <v>6.1999999999999998E-3</v>
      </c>
      <c r="D17" s="1779">
        <f>B17-C17</f>
        <v>0.11370000000000001</v>
      </c>
      <c r="E17" s="290"/>
      <c r="F17" s="290"/>
      <c r="G17" s="290"/>
      <c r="H17" s="290"/>
      <c r="I17" s="290"/>
      <c r="J17" s="290"/>
      <c r="K17" s="290"/>
      <c r="L17" s="290"/>
      <c r="M17" s="290"/>
      <c r="N17" s="290"/>
      <c r="O17" s="290"/>
      <c r="P17" s="290"/>
      <c r="Q17" s="290"/>
    </row>
    <row r="18" spans="1:20">
      <c r="A18" s="290"/>
      <c r="B18" s="290"/>
      <c r="C18" s="290"/>
      <c r="D18" s="290"/>
      <c r="E18" s="290"/>
      <c r="F18" s="290"/>
      <c r="G18" s="290"/>
      <c r="H18" s="290"/>
      <c r="I18" s="290"/>
      <c r="J18" s="290"/>
      <c r="K18" s="290"/>
      <c r="L18" s="290"/>
      <c r="M18" s="290"/>
      <c r="N18" s="290"/>
      <c r="O18" s="290"/>
      <c r="P18" s="290"/>
      <c r="Q18" s="290"/>
    </row>
    <row r="19" spans="1:20">
      <c r="A19" s="290"/>
      <c r="B19" s="290"/>
      <c r="C19" s="290"/>
      <c r="D19" s="290"/>
      <c r="E19" s="290"/>
      <c r="F19" s="290"/>
      <c r="G19" s="290"/>
      <c r="H19" s="290"/>
      <c r="I19" s="290"/>
      <c r="J19" s="290"/>
      <c r="K19" s="290"/>
      <c r="L19" s="290"/>
      <c r="M19" s="290"/>
      <c r="N19" s="290"/>
      <c r="O19" s="290"/>
      <c r="P19" s="290"/>
      <c r="Q19" s="290"/>
    </row>
    <row r="20" spans="1:20">
      <c r="A20" s="290"/>
      <c r="B20" s="290"/>
      <c r="C20" s="290"/>
      <c r="D20" s="290"/>
      <c r="E20" s="290"/>
      <c r="F20" s="290"/>
      <c r="G20" s="290"/>
      <c r="H20" s="290"/>
      <c r="I20" s="290"/>
      <c r="J20" s="290"/>
      <c r="K20" s="290"/>
      <c r="L20" s="290"/>
      <c r="M20" s="290"/>
      <c r="N20" s="290"/>
      <c r="O20" s="290"/>
      <c r="P20" s="290"/>
      <c r="Q20" s="290"/>
      <c r="S20" s="48"/>
      <c r="T20" s="48"/>
    </row>
    <row r="21" spans="1:20">
      <c r="S21" s="48"/>
      <c r="T21" s="48"/>
    </row>
    <row r="27" spans="1:20">
      <c r="S27" s="602"/>
    </row>
    <row r="28" spans="1:20">
      <c r="S28" s="602"/>
    </row>
    <row r="29" spans="1:20">
      <c r="S29" s="602"/>
    </row>
    <row r="30" spans="1:20">
      <c r="S30" s="602"/>
    </row>
    <row r="31" spans="1:20">
      <c r="S31" s="602"/>
    </row>
    <row r="32" spans="1:20">
      <c r="S32" s="602"/>
    </row>
    <row r="33" spans="19:19">
      <c r="S33" s="603"/>
    </row>
    <row r="34" spans="19:19">
      <c r="S34" s="603"/>
    </row>
    <row r="35" spans="19:19">
      <c r="S35" s="603"/>
    </row>
    <row r="36" spans="19:19">
      <c r="S36" s="603"/>
    </row>
    <row r="37" spans="19:19">
      <c r="S37" s="604"/>
    </row>
    <row r="38" spans="19:19">
      <c r="S38" s="604"/>
    </row>
  </sheetData>
  <mergeCells count="3">
    <mergeCell ref="A1:Q1"/>
    <mergeCell ref="A2:O2"/>
    <mergeCell ref="A3:D3"/>
  </mergeCells>
  <printOptions horizontalCentered="1" verticalCentered="1"/>
  <pageMargins left="0.4" right="0.4" top="0.25" bottom="0.25" header="0.3" footer="0.3"/>
  <pageSetup scale="53"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D9:M40"/>
  <sheetViews>
    <sheetView showGridLines="0" view="pageBreakPreview" zoomScaleNormal="100" zoomScaleSheetLayoutView="100" workbookViewId="0">
      <selection activeCell="K25" sqref="K25"/>
    </sheetView>
  </sheetViews>
  <sheetFormatPr baseColWidth="10" defaultRowHeight="15"/>
  <cols>
    <col min="4" max="5" width="14.42578125" style="149" bestFit="1" customWidth="1"/>
    <col min="8" max="8" width="12.7109375" customWidth="1"/>
    <col min="11" max="11" width="23.28515625" style="284" customWidth="1"/>
    <col min="12" max="12" width="16.28515625" style="284" bestFit="1" customWidth="1"/>
  </cols>
  <sheetData>
    <row r="9" spans="12:13">
      <c r="L9" s="1399"/>
      <c r="M9" s="182"/>
    </row>
    <row r="10" spans="12:13">
      <c r="L10" s="1399"/>
      <c r="M10" s="182"/>
    </row>
    <row r="11" spans="12:13">
      <c r="L11" s="1399"/>
      <c r="M11" s="165"/>
    </row>
    <row r="12" spans="12:13">
      <c r="L12" s="1399"/>
    </row>
    <row r="13" spans="12:13">
      <c r="L13" s="1399"/>
    </row>
    <row r="14" spans="12:13">
      <c r="L14" s="1399"/>
    </row>
    <row r="15" spans="12:13">
      <c r="L15" s="1399"/>
    </row>
    <row r="39" spans="4:5">
      <c r="D39" s="1659"/>
      <c r="E39" s="1659"/>
    </row>
    <row r="40" spans="4:5">
      <c r="D40" s="1659"/>
      <c r="E40" s="1659"/>
    </row>
  </sheetData>
  <pageMargins left="0.7" right="0.7" top="0.75" bottom="0.75" header="0.3" footer="0.3"/>
  <pageSetup scale="88"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0"/>
  <sheetViews>
    <sheetView showGridLines="0" view="pageBreakPreview" zoomScale="70" zoomScaleNormal="100" zoomScaleSheetLayoutView="70" workbookViewId="0">
      <selection activeCell="J5" sqref="J5"/>
    </sheetView>
  </sheetViews>
  <sheetFormatPr baseColWidth="10" defaultColWidth="11.42578125" defaultRowHeight="15"/>
  <cols>
    <col min="1" max="1" width="14.140625" style="39" customWidth="1"/>
    <col min="2" max="2" width="21.7109375" style="39" customWidth="1"/>
    <col min="3" max="3" width="11.140625" style="39" customWidth="1"/>
    <col min="4" max="4" width="18.42578125" style="39" customWidth="1"/>
    <col min="5" max="5" width="12" style="39" customWidth="1"/>
    <col min="6" max="6" width="19.5703125" style="39" customWidth="1"/>
    <col min="7" max="7" width="13.140625" style="39" customWidth="1"/>
    <col min="8" max="8" width="24.42578125" style="39" customWidth="1"/>
    <col min="9" max="9" width="18.5703125" style="39" bestFit="1" customWidth="1"/>
    <col min="10" max="11" width="17.42578125" style="39" customWidth="1"/>
    <col min="12" max="12" width="19.28515625" style="39" customWidth="1"/>
    <col min="13" max="13" width="14.42578125" style="39" customWidth="1"/>
    <col min="14" max="14" width="14.28515625" style="39" customWidth="1"/>
    <col min="15" max="15" width="13.85546875" style="39" customWidth="1"/>
    <col min="16" max="16384" width="11.42578125" style="39"/>
  </cols>
  <sheetData>
    <row r="1" spans="1:14" customFormat="1" ht="64.5" customHeight="1">
      <c r="A1" s="1963"/>
      <c r="B1" s="1963"/>
      <c r="C1" s="1963"/>
      <c r="D1" s="1963"/>
      <c r="E1" s="1963"/>
      <c r="F1" s="1963"/>
      <c r="G1" s="1963"/>
      <c r="H1" s="1963"/>
      <c r="I1" s="1963"/>
      <c r="J1" s="1963"/>
      <c r="K1" s="1963"/>
      <c r="L1" s="1963"/>
    </row>
    <row r="2" spans="1:14" customFormat="1" ht="9.75" customHeight="1">
      <c r="A2" s="1964"/>
      <c r="B2" s="1964"/>
      <c r="C2" s="1964"/>
      <c r="D2" s="1964"/>
      <c r="E2" s="1964"/>
      <c r="F2" s="1964"/>
      <c r="G2" s="1964"/>
      <c r="H2" s="1964"/>
      <c r="I2" s="1964"/>
      <c r="J2" s="1964"/>
      <c r="K2" s="1964"/>
      <c r="L2" s="1964"/>
    </row>
    <row r="3" spans="1:14" customFormat="1" ht="15.75" customHeight="1">
      <c r="A3" s="39"/>
      <c r="B3" s="1965" t="s">
        <v>152</v>
      </c>
      <c r="C3" s="1966"/>
      <c r="D3" s="1966"/>
      <c r="E3" s="1966"/>
      <c r="F3" s="1966"/>
      <c r="G3" s="1966"/>
      <c r="H3" s="1967"/>
      <c r="I3" s="39"/>
      <c r="J3" s="39"/>
      <c r="K3" s="39"/>
      <c r="L3" s="89"/>
      <c r="M3" s="89"/>
    </row>
    <row r="4" spans="1:14" customFormat="1" ht="15.75">
      <c r="A4" s="622" t="s">
        <v>49</v>
      </c>
      <c r="B4" s="628" t="s">
        <v>137</v>
      </c>
      <c r="C4" s="628" t="s">
        <v>164</v>
      </c>
      <c r="D4" s="628" t="s">
        <v>138</v>
      </c>
      <c r="E4" s="628" t="s">
        <v>164</v>
      </c>
      <c r="F4" s="629" t="s">
        <v>139</v>
      </c>
      <c r="G4" s="628" t="s">
        <v>164</v>
      </c>
      <c r="H4" s="630" t="s">
        <v>148</v>
      </c>
      <c r="I4" s="89"/>
      <c r="J4" s="89"/>
      <c r="K4" s="89"/>
      <c r="L4" s="89"/>
      <c r="M4" s="89"/>
    </row>
    <row r="5" spans="1:14" customFormat="1" ht="15.75">
      <c r="A5" s="631">
        <v>2005</v>
      </c>
      <c r="B5" s="624">
        <v>1182369144.5599999</v>
      </c>
      <c r="C5" s="626">
        <f t="shared" ref="C5:C10" si="0">B5/H5</f>
        <v>0.94107399436081784</v>
      </c>
      <c r="D5" s="624">
        <v>45221952.840000004</v>
      </c>
      <c r="E5" s="626">
        <f t="shared" ref="E5:E16" si="1">D5/H5</f>
        <v>3.5993161685365468E-2</v>
      </c>
      <c r="F5" s="624">
        <v>28812917.210000001</v>
      </c>
      <c r="G5" s="626">
        <f t="shared" ref="G5:G16" si="2">F5/H5</f>
        <v>2.2932843953816728E-2</v>
      </c>
      <c r="H5" s="627">
        <f t="shared" ref="H5:H15" si="3">B5+D5+F5</f>
        <v>1256404014.6099999</v>
      </c>
      <c r="I5" s="89"/>
      <c r="J5" s="39"/>
      <c r="K5" s="89"/>
      <c r="L5" s="89"/>
      <c r="M5" s="168"/>
    </row>
    <row r="6" spans="1:14" customFormat="1" ht="15.75">
      <c r="A6" s="631">
        <v>2006</v>
      </c>
      <c r="B6" s="624">
        <v>1292735922.04</v>
      </c>
      <c r="C6" s="626">
        <f t="shared" si="0"/>
        <v>0.9378154266333486</v>
      </c>
      <c r="D6" s="624">
        <v>53017895.640000001</v>
      </c>
      <c r="E6" s="626">
        <f t="shared" si="1"/>
        <v>3.8461838625453222E-2</v>
      </c>
      <c r="F6" s="625">
        <v>32700711.139999997</v>
      </c>
      <c r="G6" s="626">
        <f t="shared" si="2"/>
        <v>2.3722734741198043E-2</v>
      </c>
      <c r="H6" s="627">
        <f t="shared" si="3"/>
        <v>1378454528.8200002</v>
      </c>
      <c r="I6" s="89"/>
      <c r="J6" s="39"/>
      <c r="K6" s="89"/>
      <c r="L6" s="89"/>
      <c r="M6" s="168"/>
      <c r="N6" s="165"/>
    </row>
    <row r="7" spans="1:14" customFormat="1" ht="15.75">
      <c r="A7" s="631">
        <v>2007</v>
      </c>
      <c r="B7" s="624">
        <v>1635826213.1600001</v>
      </c>
      <c r="C7" s="626">
        <f t="shared" si="0"/>
        <v>0.94578819961072813</v>
      </c>
      <c r="D7" s="624">
        <v>70883463.600000009</v>
      </c>
      <c r="E7" s="626">
        <f t="shared" si="1"/>
        <v>4.0982802990368349E-2</v>
      </c>
      <c r="F7" s="625">
        <v>22880747.219999999</v>
      </c>
      <c r="G7" s="626">
        <f t="shared" si="2"/>
        <v>1.3228997398903602E-2</v>
      </c>
      <c r="H7" s="627">
        <f t="shared" si="3"/>
        <v>1729590423.98</v>
      </c>
      <c r="I7" s="89"/>
      <c r="J7" s="39"/>
      <c r="K7" s="89"/>
      <c r="L7" s="89"/>
      <c r="M7" s="168"/>
      <c r="N7" s="165"/>
    </row>
    <row r="8" spans="1:14" customFormat="1" ht="15.75">
      <c r="A8" s="631">
        <v>2008</v>
      </c>
      <c r="B8" s="625">
        <v>1581393650.8599999</v>
      </c>
      <c r="C8" s="626">
        <f t="shared" si="0"/>
        <v>0.94890566872483018</v>
      </c>
      <c r="D8" s="625">
        <v>68964104.809999987</v>
      </c>
      <c r="E8" s="626">
        <f t="shared" si="1"/>
        <v>4.1381492809936499E-2</v>
      </c>
      <c r="F8" s="625">
        <v>16186878.83</v>
      </c>
      <c r="G8" s="626">
        <f t="shared" si="2"/>
        <v>9.7128384652334383E-3</v>
      </c>
      <c r="H8" s="627">
        <f t="shared" si="3"/>
        <v>1666544634.4999998</v>
      </c>
      <c r="I8" s="89"/>
      <c r="J8" s="39"/>
      <c r="K8" s="89"/>
      <c r="M8" s="168"/>
      <c r="N8" s="165"/>
    </row>
    <row r="9" spans="1:14" customFormat="1" ht="15.75">
      <c r="A9" s="631">
        <v>2009</v>
      </c>
      <c r="B9" s="624">
        <v>1687099942.1400001</v>
      </c>
      <c r="C9" s="626">
        <f t="shared" si="0"/>
        <v>0.95230043356878247</v>
      </c>
      <c r="D9" s="624">
        <v>73407508.640000001</v>
      </c>
      <c r="E9" s="626">
        <f t="shared" si="1"/>
        <v>4.1435602336873975E-2</v>
      </c>
      <c r="F9" s="625">
        <v>11097268.350000001</v>
      </c>
      <c r="G9" s="626">
        <f t="shared" si="2"/>
        <v>6.263964094343601E-3</v>
      </c>
      <c r="H9" s="627">
        <f t="shared" si="3"/>
        <v>1771604719.1300001</v>
      </c>
      <c r="I9" s="89"/>
      <c r="J9" s="39"/>
      <c r="K9" s="89"/>
      <c r="L9" s="23"/>
      <c r="M9" s="168"/>
      <c r="N9" s="165"/>
    </row>
    <row r="10" spans="1:14" customFormat="1" ht="15.75">
      <c r="A10" s="631">
        <v>2010</v>
      </c>
      <c r="B10" s="624">
        <v>1922473262.4300001</v>
      </c>
      <c r="C10" s="626">
        <f t="shared" si="0"/>
        <v>0.95304420065592299</v>
      </c>
      <c r="D10" s="624">
        <v>83809693.36999999</v>
      </c>
      <c r="E10" s="626">
        <f t="shared" si="1"/>
        <v>4.1547699926951773E-2</v>
      </c>
      <c r="F10" s="625">
        <v>10909175.590000002</v>
      </c>
      <c r="G10" s="626">
        <f t="shared" si="2"/>
        <v>5.4080994171253009E-3</v>
      </c>
      <c r="H10" s="627">
        <f t="shared" si="3"/>
        <v>2017192131.3899999</v>
      </c>
      <c r="I10" s="91"/>
      <c r="J10" s="39"/>
      <c r="K10" s="91"/>
      <c r="L10" s="23"/>
      <c r="M10" s="168"/>
      <c r="N10" s="220"/>
    </row>
    <row r="11" spans="1:14" s="77" customFormat="1" ht="15.75">
      <c r="A11" s="631">
        <v>2011</v>
      </c>
      <c r="B11" s="624">
        <v>2175109581.8400002</v>
      </c>
      <c r="C11" s="626">
        <f t="shared" ref="C11:C16" si="4">B11/H11</f>
        <v>0.95103367657376847</v>
      </c>
      <c r="D11" s="624">
        <v>94554070.570000008</v>
      </c>
      <c r="E11" s="626">
        <f t="shared" si="1"/>
        <v>4.1342333333446481E-2</v>
      </c>
      <c r="F11" s="625">
        <v>17436831.43</v>
      </c>
      <c r="G11" s="626">
        <f t="shared" si="2"/>
        <v>7.623990092785026E-3</v>
      </c>
      <c r="H11" s="627">
        <f t="shared" si="3"/>
        <v>2287100483.8400002</v>
      </c>
      <c r="I11" s="91"/>
      <c r="J11" s="39"/>
      <c r="K11" s="91"/>
      <c r="L11" s="23"/>
      <c r="M11" s="168"/>
    </row>
    <row r="12" spans="1:14" s="77" customFormat="1" ht="15.75">
      <c r="A12" s="631">
        <v>2012</v>
      </c>
      <c r="B12" s="624">
        <v>2411674911.5</v>
      </c>
      <c r="C12" s="635">
        <f t="shared" si="4"/>
        <v>0.95211214546597178</v>
      </c>
      <c r="D12" s="624">
        <v>104789518.08999999</v>
      </c>
      <c r="E12" s="635">
        <f t="shared" si="1"/>
        <v>4.1370158314148531E-2</v>
      </c>
      <c r="F12" s="625">
        <v>16509152.34</v>
      </c>
      <c r="G12" s="635">
        <f t="shared" si="2"/>
        <v>6.5176962198795789E-3</v>
      </c>
      <c r="H12" s="627">
        <f t="shared" si="3"/>
        <v>2532973581.9300003</v>
      </c>
      <c r="I12" s="91"/>
      <c r="J12" s="39"/>
      <c r="K12" s="91"/>
      <c r="L12" s="23"/>
      <c r="M12" s="168"/>
    </row>
    <row r="13" spans="1:14" s="77" customFormat="1" ht="15.75">
      <c r="A13" s="631">
        <v>2013</v>
      </c>
      <c r="B13" s="624">
        <v>2663186569.8199997</v>
      </c>
      <c r="C13" s="635">
        <f t="shared" si="4"/>
        <v>0.95177416884053523</v>
      </c>
      <c r="D13" s="624">
        <v>115834844.37000003</v>
      </c>
      <c r="E13" s="635">
        <f t="shared" si="1"/>
        <v>4.1397254691953878E-2</v>
      </c>
      <c r="F13" s="625">
        <v>19107235.449999999</v>
      </c>
      <c r="G13" s="635">
        <f t="shared" si="2"/>
        <v>6.8285764675109885E-3</v>
      </c>
      <c r="H13" s="627">
        <f t="shared" si="3"/>
        <v>2798128649.6399994</v>
      </c>
      <c r="J13" s="39"/>
      <c r="K13" s="91"/>
      <c r="L13" s="23"/>
      <c r="M13" s="168"/>
    </row>
    <row r="14" spans="1:14" s="77" customFormat="1" ht="15.75">
      <c r="A14" s="631">
        <v>2014</v>
      </c>
      <c r="B14" s="636">
        <v>3005088863.5</v>
      </c>
      <c r="C14" s="1800">
        <f t="shared" si="4"/>
        <v>0.95169285075746779</v>
      </c>
      <c r="D14" s="636">
        <v>131454109.10000002</v>
      </c>
      <c r="E14" s="1800">
        <f t="shared" si="1"/>
        <v>4.1630694304146058E-2</v>
      </c>
      <c r="F14" s="637">
        <v>21081739.099999998</v>
      </c>
      <c r="G14" s="1800">
        <f t="shared" si="2"/>
        <v>6.6764549383862741E-3</v>
      </c>
      <c r="H14" s="1801">
        <f t="shared" si="3"/>
        <v>3157624711.6999998</v>
      </c>
      <c r="J14" s="39"/>
      <c r="K14" s="91"/>
      <c r="L14" s="23"/>
      <c r="M14" s="168"/>
    </row>
    <row r="15" spans="1:14" s="77" customFormat="1" ht="15.75">
      <c r="A15" s="631" t="s">
        <v>971</v>
      </c>
      <c r="B15" s="636">
        <v>1620984687.76</v>
      </c>
      <c r="C15" s="1800">
        <f t="shared" si="4"/>
        <v>0.95348446583943691</v>
      </c>
      <c r="D15" s="636">
        <v>70251718.689999998</v>
      </c>
      <c r="E15" s="1800">
        <f t="shared" si="1"/>
        <v>4.1322982860498521E-2</v>
      </c>
      <c r="F15" s="637">
        <v>8827669.9299999997</v>
      </c>
      <c r="G15" s="1800">
        <f t="shared" si="2"/>
        <v>5.1925513000645454E-3</v>
      </c>
      <c r="H15" s="1801">
        <f t="shared" si="3"/>
        <v>1700064076.3800001</v>
      </c>
      <c r="I15" s="284"/>
      <c r="J15" s="39"/>
      <c r="K15" s="91"/>
      <c r="L15" s="23"/>
      <c r="M15" s="961"/>
    </row>
    <row r="16" spans="1:14" customFormat="1" ht="15.75">
      <c r="A16" s="623" t="s">
        <v>23</v>
      </c>
      <c r="B16" s="632">
        <f>SUM(B5:B15)</f>
        <v>21177942749.609997</v>
      </c>
      <c r="C16" s="633">
        <f t="shared" si="4"/>
        <v>0.94986745825851626</v>
      </c>
      <c r="D16" s="632">
        <f>SUM(D5:D15)</f>
        <v>912188879.72000003</v>
      </c>
      <c r="E16" s="633">
        <f t="shared" si="1"/>
        <v>4.091325313679376E-2</v>
      </c>
      <c r="F16" s="632">
        <f>SUM(F5:F15)</f>
        <v>205550326.59</v>
      </c>
      <c r="G16" s="633">
        <f t="shared" si="2"/>
        <v>9.2192886046897436E-3</v>
      </c>
      <c r="H16" s="634">
        <f>SUM(H5:H15)</f>
        <v>22295681955.920002</v>
      </c>
      <c r="I16" s="39"/>
      <c r="J16" s="90"/>
      <c r="K16" s="90"/>
      <c r="L16" s="39"/>
      <c r="M16" s="39"/>
    </row>
    <row r="17" spans="2:14" customFormat="1">
      <c r="B17" s="18"/>
      <c r="C17" s="18"/>
      <c r="D17" s="18"/>
      <c r="E17" s="18"/>
      <c r="F17" s="18"/>
      <c r="G17" s="23"/>
      <c r="H17" s="23"/>
      <c r="I17" s="23"/>
      <c r="J17" s="23"/>
      <c r="K17" s="23"/>
      <c r="L17" s="39"/>
      <c r="M17" s="39"/>
      <c r="N17" s="23"/>
    </row>
    <row r="18" spans="2:14" customFormat="1">
      <c r="B18" s="165"/>
      <c r="C18" s="165"/>
      <c r="D18" s="165"/>
      <c r="E18" s="165"/>
      <c r="F18" s="165"/>
      <c r="G18" s="23"/>
      <c r="H18" s="23"/>
      <c r="I18" s="23"/>
      <c r="J18" s="23"/>
      <c r="K18" s="23"/>
      <c r="L18" s="23"/>
      <c r="M18" s="23"/>
      <c r="N18" s="23"/>
    </row>
    <row r="19" spans="2:14" customFormat="1">
      <c r="C19" s="23"/>
      <c r="D19" s="23"/>
      <c r="E19" s="23"/>
      <c r="F19" s="23"/>
      <c r="G19" s="23"/>
      <c r="H19" s="23"/>
      <c r="I19" s="23"/>
      <c r="J19" s="23"/>
      <c r="K19" s="23"/>
      <c r="L19" s="23"/>
      <c r="M19" s="91"/>
      <c r="N19" s="23"/>
    </row>
    <row r="20" spans="2:14" customFormat="1">
      <c r="C20" s="23"/>
      <c r="D20" s="23"/>
      <c r="E20" s="23"/>
      <c r="F20" s="23"/>
      <c r="G20" s="23"/>
      <c r="H20" s="23"/>
      <c r="I20" s="23"/>
      <c r="J20" s="23"/>
      <c r="K20" s="23"/>
      <c r="L20" s="23"/>
      <c r="M20" s="1571"/>
      <c r="N20" s="23"/>
    </row>
    <row r="21" spans="2:14" customFormat="1">
      <c r="C21" s="23"/>
      <c r="D21" s="23"/>
      <c r="E21" s="23"/>
      <c r="F21" s="23"/>
      <c r="G21" s="23"/>
      <c r="H21" s="23"/>
      <c r="I21" s="23"/>
      <c r="J21" s="23"/>
      <c r="K21" s="23"/>
      <c r="L21" s="23"/>
      <c r="M21" s="1571"/>
      <c r="N21" s="23"/>
    </row>
    <row r="22" spans="2:14" customFormat="1">
      <c r="C22" s="23"/>
      <c r="D22" s="23"/>
      <c r="E22" s="23"/>
      <c r="F22" s="23"/>
      <c r="G22" s="23"/>
      <c r="H22" s="23"/>
      <c r="I22" s="23"/>
      <c r="J22" s="23"/>
      <c r="K22" s="23"/>
      <c r="L22" s="23"/>
      <c r="M22" s="1572"/>
      <c r="N22" s="23"/>
    </row>
    <row r="23" spans="2:14" customFormat="1">
      <c r="C23" s="23"/>
      <c r="D23" s="23"/>
      <c r="E23" s="23"/>
      <c r="F23" s="23"/>
      <c r="G23" s="23"/>
      <c r="H23" s="23"/>
      <c r="I23" s="23"/>
      <c r="J23" s="23"/>
      <c r="K23" s="23"/>
      <c r="L23" s="23"/>
      <c r="M23" s="23"/>
      <c r="N23" s="23"/>
    </row>
    <row r="24" spans="2:14" customFormat="1">
      <c r="C24" s="23"/>
      <c r="D24" s="23"/>
      <c r="E24" s="23"/>
      <c r="F24" s="23"/>
      <c r="G24" s="23"/>
      <c r="H24" s="23"/>
      <c r="I24" s="23"/>
      <c r="J24" s="23"/>
      <c r="K24" s="23"/>
      <c r="L24" s="23"/>
      <c r="M24" s="23"/>
      <c r="N24" s="23"/>
    </row>
    <row r="25" spans="2:14" customFormat="1">
      <c r="C25" s="23"/>
      <c r="D25" s="23"/>
      <c r="E25" s="23"/>
      <c r="F25" s="23"/>
      <c r="G25" s="23"/>
      <c r="H25" s="23"/>
      <c r="I25" s="23"/>
      <c r="J25" s="23"/>
      <c r="K25" s="23"/>
      <c r="L25" s="23"/>
      <c r="M25" s="23"/>
      <c r="N25" s="23"/>
    </row>
    <row r="26" spans="2:14" customFormat="1">
      <c r="C26" s="23"/>
      <c r="D26" s="23"/>
      <c r="E26" s="23"/>
      <c r="F26" s="23"/>
      <c r="G26" s="23"/>
      <c r="H26" s="23"/>
      <c r="I26" s="23"/>
      <c r="J26" s="23"/>
      <c r="K26" s="23"/>
      <c r="L26" s="23"/>
      <c r="M26" s="23"/>
      <c r="N26" s="23"/>
    </row>
    <row r="27" spans="2:14" customFormat="1">
      <c r="C27" s="23"/>
      <c r="D27" s="23"/>
      <c r="E27" s="23"/>
      <c r="F27" s="23"/>
      <c r="G27" s="23"/>
      <c r="H27" s="23"/>
      <c r="I27" s="23"/>
      <c r="J27" s="23"/>
      <c r="K27" s="23"/>
      <c r="L27" s="23"/>
      <c r="M27" s="23"/>
      <c r="N27" s="23"/>
    </row>
    <row r="28" spans="2:14" customFormat="1">
      <c r="C28" s="23"/>
      <c r="D28" s="23"/>
      <c r="E28" s="23"/>
      <c r="F28" s="23"/>
      <c r="G28" s="23"/>
      <c r="H28" s="23"/>
      <c r="I28" s="23"/>
      <c r="J28" s="23"/>
      <c r="K28" s="23"/>
      <c r="L28" s="23"/>
      <c r="M28" s="23"/>
      <c r="N28" s="23"/>
    </row>
    <row r="29" spans="2:14" customFormat="1">
      <c r="C29" s="23"/>
      <c r="D29" s="23"/>
      <c r="E29" s="23"/>
      <c r="F29" s="23"/>
      <c r="G29" s="23"/>
      <c r="H29" s="23"/>
      <c r="I29" s="23"/>
      <c r="J29" s="23"/>
      <c r="K29" s="23"/>
      <c r="L29" s="23"/>
      <c r="M29" s="23"/>
      <c r="N29" s="23"/>
    </row>
    <row r="30" spans="2:14" customFormat="1">
      <c r="C30" s="23"/>
      <c r="D30" s="23"/>
      <c r="E30" s="23"/>
      <c r="F30" s="23"/>
      <c r="G30" s="23"/>
      <c r="H30" s="23"/>
      <c r="I30" s="23"/>
      <c r="J30" s="23"/>
      <c r="K30" s="23"/>
      <c r="L30" s="23"/>
      <c r="M30" s="23"/>
      <c r="N30" s="23"/>
    </row>
    <row r="31" spans="2:14" customFormat="1">
      <c r="C31" s="23"/>
      <c r="D31" s="23"/>
      <c r="E31" s="23"/>
      <c r="F31" s="23"/>
      <c r="G31" s="23"/>
      <c r="H31" s="23"/>
      <c r="I31" s="23"/>
      <c r="J31" s="23"/>
      <c r="K31" s="23"/>
      <c r="L31" s="23"/>
      <c r="M31" s="23"/>
      <c r="N31" s="23"/>
    </row>
    <row r="32" spans="2:14" customFormat="1">
      <c r="C32" s="23"/>
      <c r="D32" s="23"/>
      <c r="E32" s="23"/>
      <c r="F32" s="23"/>
      <c r="G32" s="23"/>
      <c r="H32" s="23"/>
      <c r="I32" s="23"/>
      <c r="J32" s="23"/>
      <c r="K32" s="23"/>
      <c r="L32" s="23"/>
      <c r="M32" s="23"/>
      <c r="N32" s="23"/>
    </row>
    <row r="33" spans="3:14" customFormat="1">
      <c r="C33" s="23"/>
      <c r="D33" s="23"/>
      <c r="E33" s="23"/>
      <c r="F33" s="23"/>
      <c r="G33" s="23"/>
      <c r="H33" s="23"/>
      <c r="I33" s="23"/>
      <c r="J33" s="23"/>
      <c r="K33" s="23"/>
      <c r="L33" s="23"/>
      <c r="M33" s="23"/>
      <c r="N33" s="23"/>
    </row>
    <row r="34" spans="3:14" customFormat="1">
      <c r="C34" s="23"/>
      <c r="D34" s="23"/>
      <c r="E34" s="23"/>
      <c r="F34" s="23"/>
      <c r="G34" s="23"/>
      <c r="H34" s="23"/>
      <c r="I34" s="23"/>
      <c r="J34" s="23"/>
      <c r="K34" s="23"/>
      <c r="L34" s="23"/>
      <c r="M34" s="23"/>
      <c r="N34" s="23"/>
    </row>
    <row r="35" spans="3:14" customFormat="1">
      <c r="C35" s="23"/>
      <c r="D35" s="23"/>
      <c r="E35" s="23"/>
      <c r="F35" s="23"/>
      <c r="G35" s="23"/>
      <c r="H35" s="23"/>
      <c r="I35" s="23"/>
      <c r="J35" s="23"/>
      <c r="K35" s="23"/>
      <c r="L35" s="23"/>
      <c r="M35" s="23"/>
      <c r="N35" s="23"/>
    </row>
    <row r="36" spans="3:14" customFormat="1">
      <c r="J36" s="77"/>
      <c r="K36" s="77"/>
    </row>
    <row r="37" spans="3:14" customFormat="1">
      <c r="J37" s="77"/>
      <c r="K37" s="77"/>
    </row>
    <row r="38" spans="3:14" customFormat="1">
      <c r="J38" s="77"/>
      <c r="K38" s="77"/>
    </row>
    <row r="39" spans="3:14" customFormat="1">
      <c r="J39" s="77"/>
      <c r="K39" s="77"/>
    </row>
    <row r="40" spans="3:14" customFormat="1">
      <c r="J40" s="77"/>
      <c r="K40" s="77"/>
    </row>
    <row r="41" spans="3:14" customFormat="1">
      <c r="J41" s="77"/>
      <c r="K41" s="77"/>
    </row>
    <row r="42" spans="3:14" customFormat="1">
      <c r="J42" s="77"/>
      <c r="K42" s="77"/>
    </row>
    <row r="43" spans="3:14" customFormat="1">
      <c r="J43" s="77"/>
      <c r="K43" s="77"/>
    </row>
    <row r="44" spans="3:14" customFormat="1">
      <c r="J44" s="77"/>
      <c r="K44" s="77"/>
    </row>
    <row r="45" spans="3:14" customFormat="1">
      <c r="J45" s="77"/>
      <c r="K45" s="77"/>
    </row>
    <row r="46" spans="3:14" customFormat="1">
      <c r="J46" s="77"/>
      <c r="K46" s="77"/>
    </row>
    <row r="47" spans="3:14" customFormat="1">
      <c r="J47" s="77"/>
      <c r="K47" s="77"/>
    </row>
    <row r="48" spans="3:14" customFormat="1">
      <c r="J48" s="77"/>
      <c r="K48" s="77"/>
    </row>
    <row r="49" spans="10:11" customFormat="1">
      <c r="J49" s="77"/>
      <c r="K49" s="77"/>
    </row>
    <row r="50" spans="10:11" customFormat="1">
      <c r="J50" s="77"/>
      <c r="K50" s="77"/>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N54"/>
  <sheetViews>
    <sheetView showGridLines="0" view="pageBreakPreview" zoomScale="85" zoomScaleNormal="100" zoomScaleSheetLayoutView="85" workbookViewId="0">
      <selection activeCell="J11" sqref="J11"/>
    </sheetView>
  </sheetViews>
  <sheetFormatPr baseColWidth="10" defaultColWidth="11.42578125" defaultRowHeight="15"/>
  <cols>
    <col min="1" max="1" width="11.85546875" style="55" customWidth="1"/>
    <col min="2" max="2" width="20.28515625" style="55" customWidth="1"/>
    <col min="3" max="3" width="10.42578125" style="55" bestFit="1" customWidth="1"/>
    <col min="4" max="4" width="21.5703125" style="55" customWidth="1"/>
    <col min="5" max="5" width="11.85546875" style="55" customWidth="1"/>
    <col min="6" max="6" width="18.28515625" style="55" customWidth="1"/>
    <col min="7" max="7" width="11.85546875" style="55" customWidth="1"/>
    <col min="8" max="8" width="21.5703125" style="55" customWidth="1"/>
    <col min="9" max="9" width="8.42578125" style="55" customWidth="1"/>
    <col min="10" max="10" width="12.5703125" style="55" bestFit="1" customWidth="1"/>
    <col min="11" max="11" width="16.28515625" style="55" bestFit="1" customWidth="1"/>
    <col min="12" max="12" width="15.140625" style="55" customWidth="1"/>
    <col min="13" max="13" width="8.42578125" style="55" customWidth="1"/>
    <col min="14" max="14" width="6.7109375" style="55" bestFit="1" customWidth="1"/>
    <col min="15" max="16384" width="11.42578125" style="55"/>
  </cols>
  <sheetData>
    <row r="1" spans="1:14" customFormat="1" ht="61.5" customHeight="1">
      <c r="A1" s="1968"/>
      <c r="B1" s="1968"/>
      <c r="C1" s="1968"/>
      <c r="D1" s="1968"/>
      <c r="E1" s="1968"/>
      <c r="F1" s="1968"/>
      <c r="G1" s="1968"/>
      <c r="H1" s="1968"/>
      <c r="I1" s="1968"/>
      <c r="J1" s="1968"/>
      <c r="K1" s="1968"/>
      <c r="L1" s="1968"/>
    </row>
    <row r="2" spans="1:14" s="77" customFormat="1" ht="12" customHeight="1">
      <c r="A2" s="75"/>
      <c r="B2" s="75"/>
      <c r="C2" s="75"/>
      <c r="D2" s="75"/>
      <c r="E2" s="75"/>
      <c r="F2" s="75"/>
      <c r="G2" s="75"/>
      <c r="H2" s="75"/>
      <c r="I2" s="75"/>
      <c r="J2" s="75"/>
      <c r="K2" s="75"/>
      <c r="L2" s="75"/>
    </row>
    <row r="3" spans="1:14" customFormat="1" ht="16.5" customHeight="1">
      <c r="A3" s="75"/>
      <c r="B3" s="1969" t="s">
        <v>147</v>
      </c>
      <c r="C3" s="1970"/>
      <c r="D3" s="1970"/>
      <c r="E3" s="1970"/>
      <c r="F3" s="1970"/>
      <c r="G3" s="1970"/>
      <c r="H3" s="1971"/>
      <c r="I3" s="75"/>
      <c r="J3" s="75"/>
      <c r="K3" s="75"/>
      <c r="L3" s="75"/>
    </row>
    <row r="4" spans="1:14" s="142" customFormat="1" ht="14.25" customHeight="1">
      <c r="A4" s="423" t="s">
        <v>48</v>
      </c>
      <c r="B4" s="581" t="s">
        <v>137</v>
      </c>
      <c r="C4" s="581" t="s">
        <v>164</v>
      </c>
      <c r="D4" s="581" t="s">
        <v>138</v>
      </c>
      <c r="E4" s="581" t="s">
        <v>164</v>
      </c>
      <c r="F4" s="639" t="s">
        <v>139</v>
      </c>
      <c r="G4" s="581" t="s">
        <v>164</v>
      </c>
      <c r="H4" s="644" t="s">
        <v>23</v>
      </c>
      <c r="I4" s="1566"/>
      <c r="J4" s="1566"/>
      <c r="K4" s="1566"/>
      <c r="L4" s="1567"/>
    </row>
    <row r="5" spans="1:14" s="142" customFormat="1" ht="14.25" customHeight="1">
      <c r="A5" s="583" t="s">
        <v>567</v>
      </c>
      <c r="B5" s="636">
        <v>248201728.63</v>
      </c>
      <c r="C5" s="958">
        <f t="shared" ref="C5:C11" si="0">B5/H5</f>
        <v>0.95028876681747421</v>
      </c>
      <c r="D5" s="959">
        <v>11065464.439999999</v>
      </c>
      <c r="E5" s="957">
        <f t="shared" ref="E5:E13" si="1">D5/H5</f>
        <v>4.2366290577394564E-2</v>
      </c>
      <c r="F5" s="959">
        <v>1918393.14</v>
      </c>
      <c r="G5" s="957">
        <f t="shared" ref="G5:G13" si="2">F5/H5</f>
        <v>7.3449426051312109E-3</v>
      </c>
      <c r="H5" s="645">
        <f t="shared" ref="H5:H14" si="3">+F5+D5+B5</f>
        <v>261185586.21000001</v>
      </c>
      <c r="I5" s="1566"/>
      <c r="J5" s="1568"/>
      <c r="K5" s="1568"/>
      <c r="L5" s="1567"/>
    </row>
    <row r="6" spans="1:14" s="142" customFormat="1" ht="14.25" customHeight="1">
      <c r="A6" s="583" t="s">
        <v>568</v>
      </c>
      <c r="B6" s="636">
        <v>261292751.96000001</v>
      </c>
      <c r="C6" s="958">
        <f t="shared" si="0"/>
        <v>0.94958824295352739</v>
      </c>
      <c r="D6" s="959">
        <v>11037504.050000001</v>
      </c>
      <c r="E6" s="957">
        <f t="shared" si="1"/>
        <v>4.0112417963420736E-2</v>
      </c>
      <c r="F6" s="959">
        <v>2834010.08</v>
      </c>
      <c r="G6" s="957">
        <f t="shared" si="2"/>
        <v>1.0299339083051791E-2</v>
      </c>
      <c r="H6" s="645">
        <f t="shared" si="3"/>
        <v>275164266.09000003</v>
      </c>
      <c r="I6" s="1566"/>
      <c r="J6" s="1568"/>
      <c r="K6" s="1568"/>
      <c r="L6" s="1567"/>
    </row>
    <row r="7" spans="1:14" s="142" customFormat="1" ht="14.25" customHeight="1">
      <c r="A7" s="583" t="s">
        <v>569</v>
      </c>
      <c r="B7" s="636">
        <v>245391197.81999999</v>
      </c>
      <c r="C7" s="958">
        <f t="shared" si="0"/>
        <v>0.95237300179743056</v>
      </c>
      <c r="D7" s="959">
        <v>10992035.460000001</v>
      </c>
      <c r="E7" s="957">
        <f t="shared" si="1"/>
        <v>4.2660526945970147E-2</v>
      </c>
      <c r="F7" s="959">
        <v>1279675.43</v>
      </c>
      <c r="G7" s="957">
        <f t="shared" si="2"/>
        <v>4.9664712565993608E-3</v>
      </c>
      <c r="H7" s="645">
        <f t="shared" si="3"/>
        <v>257662908.70999998</v>
      </c>
      <c r="I7" s="1566"/>
      <c r="J7" s="1568"/>
      <c r="K7" s="1569"/>
      <c r="L7" s="1567"/>
      <c r="N7" s="1568"/>
    </row>
    <row r="8" spans="1:14" s="142" customFormat="1" ht="14.25" customHeight="1">
      <c r="A8" s="583" t="s">
        <v>570</v>
      </c>
      <c r="B8" s="636">
        <v>261220667.27000001</v>
      </c>
      <c r="C8" s="958">
        <f t="shared" si="0"/>
        <v>0.95112505939191816</v>
      </c>
      <c r="D8" s="959">
        <v>11145078.220000001</v>
      </c>
      <c r="E8" s="957">
        <f t="shared" si="1"/>
        <v>4.0580109126543362E-2</v>
      </c>
      <c r="F8" s="959">
        <v>2278124.62</v>
      </c>
      <c r="G8" s="957">
        <f t="shared" si="2"/>
        <v>8.2948314815385043E-3</v>
      </c>
      <c r="H8" s="645">
        <f t="shared" si="3"/>
        <v>274643870.11000001</v>
      </c>
      <c r="I8" s="1566"/>
      <c r="J8" s="1568"/>
      <c r="K8" s="1568"/>
      <c r="L8" s="1567"/>
    </row>
    <row r="9" spans="1:14" s="142" customFormat="1" ht="14.25" customHeight="1">
      <c r="A9" s="583" t="s">
        <v>547</v>
      </c>
      <c r="B9" s="637">
        <v>258895516.99000001</v>
      </c>
      <c r="C9" s="958">
        <f t="shared" si="0"/>
        <v>0.95114920628177935</v>
      </c>
      <c r="D9" s="959">
        <v>11376463.4</v>
      </c>
      <c r="E9" s="957">
        <f t="shared" si="1"/>
        <v>4.179567981326486E-2</v>
      </c>
      <c r="F9" s="959">
        <v>1920347.88</v>
      </c>
      <c r="G9" s="957">
        <f t="shared" si="2"/>
        <v>7.055113904955908E-3</v>
      </c>
      <c r="H9" s="645">
        <f t="shared" si="3"/>
        <v>272192328.26999998</v>
      </c>
      <c r="I9" s="1566"/>
      <c r="J9" s="1568"/>
      <c r="K9" s="1568"/>
      <c r="L9" s="1567"/>
    </row>
    <row r="10" spans="1:14" s="142" customFormat="1" ht="14.25" customHeight="1">
      <c r="A10" s="583" t="s">
        <v>588</v>
      </c>
      <c r="B10" s="636">
        <v>260633723.61000001</v>
      </c>
      <c r="C10" s="958">
        <f t="shared" si="0"/>
        <v>0.95371560554394097</v>
      </c>
      <c r="D10" s="959">
        <v>11231487.220000001</v>
      </c>
      <c r="E10" s="957">
        <f t="shared" si="1"/>
        <v>4.109845988775318E-2</v>
      </c>
      <c r="F10" s="959">
        <v>1417224.83</v>
      </c>
      <c r="G10" s="957">
        <f t="shared" si="2"/>
        <v>5.1859345683058014E-3</v>
      </c>
      <c r="H10" s="645">
        <f t="shared" si="3"/>
        <v>273282435.66000003</v>
      </c>
      <c r="I10" s="1566"/>
      <c r="J10" s="1568"/>
      <c r="K10" s="1568"/>
      <c r="L10" s="1567"/>
    </row>
    <row r="11" spans="1:14" s="142" customFormat="1" ht="14.25" customHeight="1">
      <c r="A11" s="583" t="s">
        <v>586</v>
      </c>
      <c r="B11" s="636">
        <v>260482080.38999999</v>
      </c>
      <c r="C11" s="958">
        <f t="shared" si="0"/>
        <v>0.95205469176251423</v>
      </c>
      <c r="D11" s="959">
        <v>11805929.15</v>
      </c>
      <c r="E11" s="957">
        <f t="shared" si="1"/>
        <v>4.3150339635819476E-2</v>
      </c>
      <c r="F11" s="959">
        <v>1311902.99</v>
      </c>
      <c r="G11" s="957">
        <f t="shared" si="2"/>
        <v>4.794968601666315E-3</v>
      </c>
      <c r="H11" s="645">
        <f t="shared" si="3"/>
        <v>273599912.52999997</v>
      </c>
      <c r="I11" s="1566"/>
      <c r="J11" s="1568"/>
      <c r="K11" s="1568"/>
      <c r="L11" s="1567"/>
    </row>
    <row r="12" spans="1:14" s="142" customFormat="1" ht="14.25" customHeight="1">
      <c r="A12" s="583" t="s">
        <v>587</v>
      </c>
      <c r="B12" s="636">
        <v>267983569.22999999</v>
      </c>
      <c r="C12" s="958">
        <f>B12/H12</f>
        <v>0.9545079078098081</v>
      </c>
      <c r="D12" s="959">
        <v>11225916.75</v>
      </c>
      <c r="E12" s="957">
        <f t="shared" si="1"/>
        <v>3.9984639136935722E-2</v>
      </c>
      <c r="F12" s="959">
        <v>1546249.03</v>
      </c>
      <c r="G12" s="957">
        <f t="shared" si="2"/>
        <v>5.5074530532561537E-3</v>
      </c>
      <c r="H12" s="645">
        <f t="shared" si="3"/>
        <v>280755735.00999999</v>
      </c>
      <c r="I12" s="1566"/>
      <c r="K12" s="1568"/>
      <c r="L12" s="1567"/>
    </row>
    <row r="13" spans="1:14" s="142" customFormat="1" ht="14.25" customHeight="1">
      <c r="A13" s="583" t="s">
        <v>761</v>
      </c>
      <c r="B13" s="636">
        <v>265285189.87</v>
      </c>
      <c r="C13" s="958">
        <f>B13/H13</f>
        <v>0.95253357637502756</v>
      </c>
      <c r="D13" s="959">
        <v>11348212.01</v>
      </c>
      <c r="E13" s="957">
        <f t="shared" si="1"/>
        <v>4.074691458141496E-2</v>
      </c>
      <c r="F13" s="959">
        <v>1871415.64</v>
      </c>
      <c r="G13" s="957">
        <f t="shared" si="2"/>
        <v>6.7195090435576031E-3</v>
      </c>
      <c r="H13" s="645">
        <f t="shared" si="3"/>
        <v>278504817.51999998</v>
      </c>
      <c r="I13" s="1566"/>
      <c r="K13" s="1568"/>
      <c r="L13" s="1567"/>
    </row>
    <row r="14" spans="1:14" s="142" customFormat="1" ht="14.25" customHeight="1">
      <c r="A14" s="583" t="s">
        <v>909</v>
      </c>
      <c r="B14" s="636">
        <v>264604418.80000001</v>
      </c>
      <c r="C14" s="958">
        <v>0.95288850034363559</v>
      </c>
      <c r="D14" s="959">
        <v>11956968.699999999</v>
      </c>
      <c r="E14" s="957">
        <v>4.3059212785900719E-2</v>
      </c>
      <c r="F14" s="959">
        <v>1125265.98</v>
      </c>
      <c r="G14" s="957">
        <v>4.0522868704636738E-3</v>
      </c>
      <c r="H14" s="645">
        <f t="shared" si="3"/>
        <v>277686653.48000002</v>
      </c>
      <c r="I14" s="1566"/>
      <c r="K14" s="1568"/>
      <c r="L14" s="1567"/>
    </row>
    <row r="15" spans="1:14" s="142" customFormat="1" ht="14.25" customHeight="1">
      <c r="A15" s="583" t="s">
        <v>917</v>
      </c>
      <c r="B15" s="636">
        <v>189992092.56999999</v>
      </c>
      <c r="C15" s="958">
        <f>B15/H15</f>
        <v>0.936085200120091</v>
      </c>
      <c r="D15" s="959">
        <v>11741328.210000001</v>
      </c>
      <c r="E15" s="957">
        <f>D15/H15</f>
        <v>5.784916318601039E-2</v>
      </c>
      <c r="F15" s="959">
        <v>1231109.1000000001</v>
      </c>
      <c r="G15" s="957">
        <f>F15/H15</f>
        <v>6.0656366938985672E-3</v>
      </c>
      <c r="H15" s="645">
        <f>+F15+D15+B15</f>
        <v>202964529.88</v>
      </c>
      <c r="I15" s="1566"/>
      <c r="K15" s="1568"/>
      <c r="L15" s="1567"/>
    </row>
    <row r="16" spans="1:14" s="142" customFormat="1" ht="14.25" customHeight="1">
      <c r="A16" s="583" t="s">
        <v>931</v>
      </c>
      <c r="B16" s="636">
        <v>353354533.29000002</v>
      </c>
      <c r="C16" s="958">
        <f>B16/H16</f>
        <v>0.96336755855023604</v>
      </c>
      <c r="D16" s="959">
        <v>11875285.16</v>
      </c>
      <c r="E16" s="957">
        <f>D16/H16</f>
        <v>3.2376164429417299E-2</v>
      </c>
      <c r="F16" s="959">
        <v>1561164.03</v>
      </c>
      <c r="G16" s="957">
        <f>F16/H16</f>
        <v>4.2562770203466646E-3</v>
      </c>
      <c r="H16" s="645">
        <f>+F16+D16+B16</f>
        <v>366790982.48000002</v>
      </c>
      <c r="I16" s="1566"/>
      <c r="K16" s="1568"/>
      <c r="L16" s="1567"/>
    </row>
    <row r="17" spans="1:12" s="142" customFormat="1" ht="14.25" customHeight="1">
      <c r="A17" s="583" t="s">
        <v>946</v>
      </c>
      <c r="B17" s="636">
        <v>279764884</v>
      </c>
      <c r="C17" s="958">
        <f>B17/H17</f>
        <v>0.95365281200553853</v>
      </c>
      <c r="D17" s="959">
        <v>12104007.859999999</v>
      </c>
      <c r="E17" s="957">
        <f>D17/H17</f>
        <v>4.1259721260178385E-2</v>
      </c>
      <c r="F17" s="959">
        <v>1492466.15</v>
      </c>
      <c r="G17" s="957">
        <f>F17/H17</f>
        <v>5.087466734283134E-3</v>
      </c>
      <c r="H17" s="645">
        <f>+F17+D17+B17</f>
        <v>293361358.00999999</v>
      </c>
      <c r="I17" s="1566"/>
      <c r="K17" s="1568"/>
      <c r="L17" s="1567"/>
    </row>
    <row r="18" spans="1:12" s="142" customFormat="1" ht="14.25" customHeight="1">
      <c r="A18" s="423" t="s">
        <v>23</v>
      </c>
      <c r="B18" s="640">
        <f>SUM(B5:B17)</f>
        <v>3417102354.4300003</v>
      </c>
      <c r="C18" s="641">
        <f>B18/H18</f>
        <v>0.9524239787215516</v>
      </c>
      <c r="D18" s="640">
        <f>SUM(D5:D17)</f>
        <v>148905680.63</v>
      </c>
      <c r="E18" s="641">
        <f>D18/H18</f>
        <v>4.150339266718342E-2</v>
      </c>
      <c r="F18" s="642">
        <f>SUM(F5:F17)</f>
        <v>21787348.899999999</v>
      </c>
      <c r="G18" s="960">
        <f>F18/H18</f>
        <v>6.0726286112650013E-3</v>
      </c>
      <c r="H18" s="542">
        <f>SUM(H5:H17)</f>
        <v>3587795383.96</v>
      </c>
      <c r="I18" s="1566"/>
      <c r="J18" s="1568"/>
      <c r="K18" s="1570"/>
      <c r="L18" s="1567"/>
    </row>
    <row r="19" spans="1:12" customFormat="1" ht="12.75" customHeight="1">
      <c r="A19" s="111"/>
      <c r="B19" s="111"/>
      <c r="C19" s="111"/>
      <c r="D19" s="111"/>
      <c r="E19" s="111"/>
      <c r="F19" s="111"/>
      <c r="G19" s="111"/>
      <c r="H19" s="111"/>
      <c r="I19" s="69"/>
      <c r="J19" s="99"/>
      <c r="K19" s="98"/>
      <c r="L19" s="75"/>
    </row>
    <row r="20" spans="1:12" customFormat="1">
      <c r="A20" s="70"/>
      <c r="B20" s="70"/>
      <c r="C20" s="69"/>
      <c r="D20" s="69"/>
      <c r="E20" s="69"/>
      <c r="F20" s="69"/>
      <c r="G20" s="69"/>
      <c r="H20" s="69"/>
      <c r="I20" s="69"/>
      <c r="J20" s="69"/>
      <c r="K20" s="69"/>
      <c r="L20" s="69"/>
    </row>
    <row r="21" spans="1:12" customFormat="1">
      <c r="A21" s="70"/>
      <c r="B21" s="70"/>
      <c r="C21" s="69"/>
      <c r="D21" s="69"/>
      <c r="E21" s="69"/>
      <c r="F21" s="69"/>
      <c r="G21" s="69"/>
      <c r="H21" s="69"/>
      <c r="I21" s="69"/>
      <c r="J21" s="69"/>
      <c r="K21" s="69"/>
      <c r="L21" s="69"/>
    </row>
    <row r="22" spans="1:12" customFormat="1">
      <c r="A22" s="70"/>
      <c r="B22" s="70"/>
      <c r="C22" s="69"/>
      <c r="D22" s="69"/>
      <c r="E22" s="69"/>
      <c r="F22" s="69"/>
      <c r="G22" s="69"/>
      <c r="H22" s="69"/>
      <c r="I22" s="69"/>
      <c r="J22" s="69"/>
      <c r="K22" s="69"/>
      <c r="L22" s="69"/>
    </row>
    <row r="23" spans="1:12" customFormat="1">
      <c r="A23" s="70"/>
      <c r="B23" s="70"/>
      <c r="C23" s="69"/>
      <c r="D23" s="69"/>
      <c r="E23" s="69"/>
      <c r="F23" s="69"/>
      <c r="G23" s="69"/>
      <c r="H23" s="69"/>
      <c r="I23" s="69"/>
      <c r="J23" s="69"/>
      <c r="K23" s="69"/>
      <c r="L23" s="69"/>
    </row>
    <row r="24" spans="1:12" customFormat="1">
      <c r="A24" s="70"/>
      <c r="B24" s="70"/>
      <c r="C24" s="69"/>
      <c r="D24" s="69"/>
      <c r="E24" s="69"/>
      <c r="F24" s="69"/>
      <c r="G24" s="69"/>
      <c r="H24" s="69"/>
      <c r="I24" s="69"/>
      <c r="J24" s="69"/>
      <c r="K24" s="69"/>
      <c r="L24" s="69"/>
    </row>
    <row r="25" spans="1:12" customFormat="1">
      <c r="A25" s="70"/>
      <c r="B25" s="70"/>
      <c r="C25" s="69"/>
      <c r="D25" s="69"/>
      <c r="E25" s="69"/>
      <c r="F25" s="69"/>
      <c r="G25" s="69"/>
      <c r="H25" s="69"/>
      <c r="I25" s="69"/>
      <c r="J25" s="69"/>
      <c r="K25" s="69"/>
      <c r="L25" s="69"/>
    </row>
    <row r="26" spans="1:12" customFormat="1">
      <c r="A26" s="70"/>
      <c r="B26" s="70"/>
      <c r="C26" s="69"/>
      <c r="D26" s="69"/>
      <c r="E26" s="69"/>
      <c r="F26" s="69"/>
      <c r="G26" s="69"/>
      <c r="H26" s="69"/>
      <c r="I26" s="69"/>
      <c r="J26" s="69"/>
      <c r="K26" s="69"/>
      <c r="L26" s="69"/>
    </row>
    <row r="27" spans="1:12" customFormat="1">
      <c r="A27" s="70"/>
      <c r="B27" s="70"/>
      <c r="C27" s="69"/>
      <c r="D27" s="69"/>
      <c r="E27" s="69"/>
      <c r="F27" s="69"/>
      <c r="G27" s="69"/>
      <c r="H27" s="69"/>
      <c r="I27" s="69"/>
      <c r="J27" s="69"/>
      <c r="K27" s="69"/>
      <c r="L27" s="69"/>
    </row>
    <row r="28" spans="1:12" customFormat="1">
      <c r="A28" s="70"/>
      <c r="B28" s="70"/>
      <c r="C28" s="69"/>
      <c r="D28" s="69"/>
      <c r="E28" s="69"/>
      <c r="F28" s="69"/>
      <c r="G28" s="69"/>
      <c r="H28" s="69"/>
      <c r="I28" s="69"/>
      <c r="J28" s="69"/>
      <c r="K28" s="69"/>
      <c r="L28" s="69"/>
    </row>
    <row r="29" spans="1:12" customFormat="1">
      <c r="A29" s="70"/>
      <c r="B29" s="70"/>
      <c r="C29" s="69"/>
      <c r="D29" s="69"/>
      <c r="E29" s="69"/>
      <c r="F29" s="69"/>
      <c r="G29" s="69"/>
      <c r="H29" s="69"/>
      <c r="I29" s="69"/>
      <c r="J29" s="69"/>
      <c r="K29" s="69"/>
      <c r="L29" s="69"/>
    </row>
    <row r="30" spans="1:12" customFormat="1">
      <c r="A30" s="70"/>
      <c r="B30" s="70"/>
      <c r="C30" s="69"/>
      <c r="D30" s="69"/>
      <c r="E30" s="69"/>
      <c r="F30" s="69"/>
      <c r="G30" s="69"/>
      <c r="H30" s="69"/>
      <c r="I30" s="69"/>
      <c r="J30" s="69"/>
      <c r="K30" s="69"/>
      <c r="L30" s="69"/>
    </row>
    <row r="31" spans="1:12" customFormat="1">
      <c r="A31" s="70"/>
      <c r="B31" s="70"/>
      <c r="C31" s="69"/>
      <c r="D31" s="69"/>
      <c r="E31" s="69"/>
      <c r="F31" s="69"/>
      <c r="G31" s="69"/>
      <c r="H31" s="69"/>
      <c r="I31" s="69"/>
      <c r="J31" s="69"/>
      <c r="K31" s="69"/>
      <c r="L31" s="69"/>
    </row>
    <row r="32" spans="1:12" customFormat="1">
      <c r="A32" s="70"/>
      <c r="B32" s="70"/>
      <c r="C32" s="69"/>
      <c r="D32" s="69"/>
      <c r="E32" s="69"/>
      <c r="F32" s="69"/>
      <c r="G32" s="69"/>
      <c r="H32" s="69"/>
      <c r="I32" s="69"/>
      <c r="J32" s="69"/>
      <c r="K32" s="69"/>
      <c r="L32" s="69"/>
    </row>
    <row r="33" spans="1:12" customFormat="1">
      <c r="A33" s="70"/>
      <c r="B33" s="70"/>
      <c r="C33" s="69"/>
      <c r="D33" s="69"/>
      <c r="E33" s="69"/>
      <c r="F33" s="69"/>
      <c r="G33" s="69"/>
      <c r="H33" s="69"/>
      <c r="I33" s="69"/>
      <c r="J33" s="69"/>
      <c r="K33" s="69"/>
      <c r="L33" s="69"/>
    </row>
    <row r="34" spans="1:12" customFormat="1">
      <c r="A34" s="70"/>
      <c r="B34" s="70"/>
      <c r="C34" s="69"/>
      <c r="D34" s="69"/>
      <c r="E34" s="69"/>
      <c r="F34" s="69"/>
      <c r="G34" s="69"/>
      <c r="H34" s="69"/>
      <c r="I34" s="69"/>
      <c r="J34" s="69"/>
      <c r="K34" s="69"/>
      <c r="L34" s="69"/>
    </row>
    <row r="35" spans="1:12" customFormat="1">
      <c r="A35" s="70"/>
      <c r="B35" s="70"/>
      <c r="C35" s="69"/>
      <c r="D35" s="69"/>
      <c r="E35" s="69"/>
      <c r="F35" s="69"/>
      <c r="G35" s="69"/>
      <c r="H35" s="69"/>
      <c r="I35" s="69"/>
      <c r="J35" s="69"/>
      <c r="K35" s="69"/>
      <c r="L35" s="69"/>
    </row>
    <row r="36" spans="1:12" customFormat="1">
      <c r="A36" s="70"/>
      <c r="B36" s="70"/>
      <c r="C36" s="69"/>
      <c r="D36" s="69"/>
      <c r="E36" s="69"/>
      <c r="F36" s="69"/>
      <c r="G36" s="69"/>
      <c r="H36" s="69"/>
      <c r="I36" s="69"/>
      <c r="J36" s="69"/>
      <c r="K36" s="69"/>
      <c r="L36" s="69"/>
    </row>
    <row r="37" spans="1:12" customFormat="1">
      <c r="A37" s="70"/>
      <c r="B37" s="70"/>
      <c r="C37" s="69"/>
      <c r="D37" s="69"/>
      <c r="E37" s="69"/>
      <c r="F37" s="69"/>
      <c r="G37" s="69"/>
      <c r="H37" s="69"/>
      <c r="I37" s="69"/>
      <c r="J37" s="69"/>
      <c r="K37" s="69"/>
      <c r="L37" s="69"/>
    </row>
    <row r="38" spans="1:12" customFormat="1">
      <c r="A38" s="70"/>
      <c r="B38" s="70"/>
      <c r="C38" s="69"/>
      <c r="D38" s="69"/>
      <c r="E38" s="69"/>
      <c r="F38" s="69"/>
      <c r="G38" s="69"/>
      <c r="H38" s="69"/>
      <c r="I38" s="69"/>
      <c r="J38" s="69"/>
      <c r="K38" s="69"/>
      <c r="L38" s="69"/>
    </row>
    <row r="39" spans="1:12" customFormat="1">
      <c r="A39" s="70"/>
      <c r="B39" s="70"/>
      <c r="C39" s="69"/>
      <c r="D39" s="69"/>
      <c r="E39" s="69"/>
      <c r="F39" s="69"/>
      <c r="G39" s="69"/>
      <c r="H39" s="69"/>
      <c r="I39" s="69"/>
      <c r="J39" s="69"/>
      <c r="K39" s="69"/>
      <c r="L39" s="69"/>
    </row>
    <row r="40" spans="1:12" customFormat="1">
      <c r="A40" s="70"/>
      <c r="B40" s="70"/>
      <c r="C40" s="69"/>
      <c r="D40" s="69"/>
      <c r="E40" s="69"/>
      <c r="F40" s="69"/>
      <c r="G40" s="69"/>
      <c r="H40" s="69"/>
      <c r="I40" s="69"/>
      <c r="J40" s="69"/>
      <c r="K40" s="69"/>
      <c r="L40" s="69"/>
    </row>
    <row r="41" spans="1:12" customFormat="1">
      <c r="A41" s="70"/>
      <c r="B41" s="70"/>
      <c r="C41" s="69"/>
      <c r="D41" s="69"/>
      <c r="E41" s="69"/>
      <c r="F41" s="69"/>
      <c r="G41" s="69"/>
      <c r="H41" s="69"/>
      <c r="I41" s="69"/>
      <c r="J41" s="69"/>
      <c r="K41" s="69"/>
      <c r="L41" s="69"/>
    </row>
    <row r="42" spans="1:12" customFormat="1">
      <c r="A42" s="70"/>
      <c r="B42" s="70"/>
      <c r="C42" s="69"/>
      <c r="D42" s="69"/>
      <c r="E42" s="69"/>
      <c r="F42" s="69"/>
      <c r="G42" s="69"/>
      <c r="H42" s="69"/>
      <c r="I42" s="69"/>
      <c r="J42" s="69"/>
      <c r="K42" s="69"/>
      <c r="L42" s="69"/>
    </row>
    <row r="43" spans="1:12" customFormat="1">
      <c r="A43" s="70"/>
      <c r="B43" s="70"/>
      <c r="C43" s="69"/>
      <c r="D43" s="69"/>
      <c r="E43" s="69"/>
      <c r="F43" s="69"/>
      <c r="G43" s="69"/>
      <c r="H43" s="69"/>
      <c r="I43" s="69"/>
      <c r="J43" s="69"/>
      <c r="K43" s="69"/>
      <c r="L43" s="69"/>
    </row>
    <row r="44" spans="1:12" customFormat="1">
      <c r="A44" s="70"/>
      <c r="B44" s="70"/>
      <c r="C44" s="69"/>
      <c r="D44" s="69"/>
      <c r="E44" s="69"/>
      <c r="F44" s="69"/>
      <c r="G44" s="69"/>
      <c r="H44" s="69"/>
      <c r="I44" s="69"/>
      <c r="J44" s="69"/>
      <c r="K44" s="69"/>
      <c r="L44" s="69"/>
    </row>
    <row r="45" spans="1:12" customFormat="1">
      <c r="A45" s="70"/>
      <c r="B45" s="70"/>
      <c r="C45" s="69"/>
      <c r="D45" s="69"/>
      <c r="E45" s="69"/>
      <c r="F45" s="69"/>
      <c r="G45" s="69"/>
      <c r="H45" s="69"/>
      <c r="I45" s="69"/>
      <c r="J45" s="69"/>
      <c r="K45" s="69"/>
      <c r="L45" s="69"/>
    </row>
    <row r="46" spans="1:12" customFormat="1">
      <c r="A46" s="70"/>
      <c r="B46" s="70"/>
      <c r="C46" s="69"/>
      <c r="D46" s="69"/>
      <c r="E46" s="69"/>
      <c r="F46" s="69"/>
      <c r="G46" s="69"/>
      <c r="H46" s="69"/>
      <c r="I46" s="69"/>
      <c r="J46" s="69"/>
      <c r="K46" s="69"/>
      <c r="L46" s="69"/>
    </row>
    <row r="47" spans="1:12" customFormat="1">
      <c r="C47" s="23"/>
      <c r="D47" s="23"/>
      <c r="E47" s="23"/>
      <c r="F47" s="23"/>
      <c r="G47" s="23"/>
      <c r="H47" s="23"/>
      <c r="I47" s="23"/>
      <c r="J47" s="23"/>
      <c r="K47" s="23"/>
      <c r="L47" s="23"/>
    </row>
    <row r="48" spans="1:12" customFormat="1">
      <c r="C48" s="23"/>
      <c r="D48" s="23"/>
      <c r="E48" s="23"/>
      <c r="F48" s="23"/>
      <c r="G48" s="23"/>
      <c r="H48" s="23"/>
      <c r="I48" s="23"/>
      <c r="J48" s="23"/>
      <c r="K48" s="23"/>
      <c r="L48" s="23"/>
    </row>
    <row r="49" spans="3:12" customFormat="1">
      <c r="C49" s="23"/>
      <c r="D49" s="23"/>
      <c r="E49" s="23"/>
      <c r="F49" s="23"/>
      <c r="G49" s="23"/>
      <c r="H49" s="23"/>
      <c r="I49" s="23"/>
      <c r="J49" s="23"/>
      <c r="K49" s="23"/>
      <c r="L49" s="23"/>
    </row>
    <row r="50" spans="3:12">
      <c r="C50" s="56"/>
      <c r="D50" s="56"/>
      <c r="E50" s="56"/>
      <c r="F50" s="56"/>
      <c r="G50" s="56"/>
      <c r="H50" s="56"/>
      <c r="I50" s="56"/>
      <c r="J50" s="56"/>
      <c r="K50" s="56"/>
      <c r="L50" s="56"/>
    </row>
    <row r="51" spans="3:12">
      <c r="C51" s="56"/>
      <c r="D51" s="56"/>
      <c r="E51" s="56"/>
      <c r="F51" s="56"/>
      <c r="G51" s="56"/>
      <c r="H51" s="56"/>
      <c r="I51" s="56"/>
      <c r="J51" s="56"/>
      <c r="K51" s="56"/>
      <c r="L51" s="56"/>
    </row>
    <row r="52" spans="3:12">
      <c r="C52" s="56"/>
      <c r="D52" s="56"/>
      <c r="E52" s="56"/>
      <c r="F52" s="56"/>
      <c r="G52" s="56"/>
      <c r="H52" s="56"/>
      <c r="I52" s="56"/>
      <c r="J52" s="56"/>
      <c r="K52" s="56"/>
      <c r="L52" s="56"/>
    </row>
    <row r="53" spans="3:12">
      <c r="C53" s="56"/>
      <c r="D53" s="56"/>
      <c r="E53" s="56"/>
      <c r="F53" s="56"/>
      <c r="G53" s="56"/>
      <c r="H53" s="56"/>
      <c r="I53" s="56"/>
      <c r="J53" s="56"/>
      <c r="K53" s="56"/>
      <c r="L53" s="56"/>
    </row>
    <row r="54" spans="3:12">
      <c r="C54" s="56"/>
      <c r="D54" s="56"/>
      <c r="E54" s="56"/>
      <c r="F54" s="56"/>
      <c r="G54" s="56"/>
      <c r="H54" s="56"/>
      <c r="I54" s="56"/>
      <c r="J54" s="56"/>
      <c r="K54" s="56"/>
      <c r="L54" s="56"/>
    </row>
  </sheetData>
  <mergeCells count="2">
    <mergeCell ref="A1:L1"/>
    <mergeCell ref="B3:H3"/>
  </mergeCells>
  <printOptions horizontalCentered="1" verticalCentered="1"/>
  <pageMargins left="0.4" right="0.4" top="0.25" bottom="0.25" header="0.31496062992126" footer="0.31496062992126"/>
  <pageSetup scale="72"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Normal="100" zoomScaleSheetLayoutView="100" workbookViewId="0">
      <selection activeCell="M31" sqref="M31"/>
    </sheetView>
  </sheetViews>
  <sheetFormatPr baseColWidth="10" defaultColWidth="11.42578125" defaultRowHeight="15"/>
  <cols>
    <col min="1" max="6" width="11.42578125" style="77"/>
    <col min="7" max="7" width="8.85546875" style="77" customWidth="1"/>
    <col min="8" max="16384" width="11.42578125" style="77"/>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
  <sheetViews>
    <sheetView showGridLines="0" view="pageBreakPreview" zoomScale="85" zoomScaleNormal="100" zoomScaleSheetLayoutView="85" workbookViewId="0">
      <selection activeCell="P30" sqref="P30"/>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N42:N56"/>
  <sheetViews>
    <sheetView showGridLines="0" view="pageBreakPreview" zoomScale="85" zoomScaleNormal="100" zoomScaleSheetLayoutView="85" workbookViewId="0">
      <selection activeCell="Q26" sqref="Q26"/>
    </sheetView>
  </sheetViews>
  <sheetFormatPr baseColWidth="10" defaultColWidth="11.42578125" defaultRowHeight="15"/>
  <cols>
    <col min="1" max="6" width="11.42578125" style="77"/>
    <col min="7" max="7" width="9.42578125" style="77" customWidth="1"/>
    <col min="8" max="16384" width="11.42578125" style="77"/>
  </cols>
  <sheetData>
    <row r="42" spans="14:14">
      <c r="N42" s="245"/>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Props1.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152</vt:i4>
      </vt:variant>
      <vt:variant>
        <vt:lpstr>Rangos con nombre</vt:lpstr>
      </vt:variant>
      <vt:variant>
        <vt:i4>152</vt:i4>
      </vt:variant>
    </vt:vector>
  </HeadingPairs>
  <TitlesOfParts>
    <vt:vector size="304"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 (2)</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VI.CMNR</vt:lpstr>
      <vt:lpstr>VI.1.Analisis CMNR</vt:lpstr>
      <vt:lpstr>VI.2.Status</vt:lpstr>
      <vt:lpstr>VI.3.Apelaciones1</vt:lpstr>
      <vt:lpstr>VI.4. Entidad Receptora Origen</vt:lpstr>
      <vt:lpstr>VII.ENFT_BC</vt:lpstr>
      <vt:lpstr>VII.1 Ocup. formal</vt:lpstr>
      <vt:lpstr>VII.2 Pob. econ.</vt:lpstr>
      <vt:lpstr> VIII.1.a SDSS Definiciones</vt:lpstr>
      <vt:lpstr>VIII.1.b  SDSS Definiciones </vt:lpstr>
      <vt:lpstr> VIII.1.c SDSS Definiciones</vt:lpstr>
      <vt:lpstr> VIII.1.d SDSS Definiciones</vt:lpstr>
      <vt:lpstr>VIII.2a. Logros </vt:lpstr>
      <vt:lpstr>VIII.2b.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 VIII.1.a SDSS Definiciones'!Área_de_impresión</vt:lpstr>
      <vt:lpstr>' VIII.1.c SDSS Definiciones'!Área_de_impresión</vt:lpstr>
      <vt:lpstr>' VIII.1.d SDSS Definiciones'!Área_de_impresión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 (2)'!Área_de_impresión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VI.CMNR!Área_de_impresión</vt:lpstr>
      <vt:lpstr>'VII.1 Ocup. formal'!Área_de_impresión</vt:lpstr>
      <vt:lpstr>'VII.2 Pob. econ.'!Área_de_impresión</vt:lpstr>
      <vt:lpstr>VII.ENFT_BC!Área_de_impresión</vt:lpstr>
      <vt:lpstr>'VIII.1.b  SDSS Definiciones '!Área_de_impresión</vt:lpstr>
      <vt:lpstr>'VIII.2a. Logros '!Área_de_impresión</vt:lpstr>
      <vt:lpstr>'VIII.2b. Logros1'!Área_de_impresión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2015-12-02T20:39:13Z</cp:lastPrinted>
  <dcterms:created xsi:type="dcterms:W3CDTF">2010-04-06T13:07:55Z</dcterms:created>
  <dcterms:modified xsi:type="dcterms:W3CDTF">2015-12-04T17:50:12Z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